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tabRatio="710" activeTab="0"/>
  </bookViews>
  <sheets>
    <sheet name="INPUT" sheetId="1" r:id="rId1"/>
    <sheet name="RAW" sheetId="2" state="hidden" r:id="rId2"/>
    <sheet name="CNTNR COST" sheetId="3" state="hidden" r:id="rId3"/>
    <sheet name="DETAIL" sheetId="4" state="hidden" r:id="rId4"/>
    <sheet name="SCHEDULES" sheetId="5" r:id="rId5"/>
  </sheets>
  <definedNames>
    <definedName name="ADVANCE_CL2_DIFF">'INPUT'!$B$13</definedName>
    <definedName name="BF_DIFF">'INPUT'!$B$10</definedName>
    <definedName name="CLASS_1_PRiCE">'INPUT'!$B$7</definedName>
    <definedName name="CLASS2_PRICE">'INPUT'!$B$9</definedName>
    <definedName name="Consumer_Price_Index">'INPUT'!$B$11</definedName>
    <definedName name="COST_UPDATE_ADJ">'INPUT'!$B$34</definedName>
    <definedName name="CREAM_ADDON">'INPUT'!$B$51</definedName>
    <definedName name="CREAMER_ADDON">'INPUT'!$B$50</definedName>
    <definedName name="DISP_CTNR_CST">'INPUT'!$B$24</definedName>
    <definedName name="DISP_H_AND_H">'INPUT'!$B$48</definedName>
    <definedName name="ENERGY_ADDON">'INPUT'!$B$12</definedName>
    <definedName name="FOURoz_CTNR_CST">'INPUT'!$B$23</definedName>
    <definedName name="GAL_CTNR_CST">'INPUT'!$B$15</definedName>
    <definedName name="H_AND_H_ADDON">'INPUT'!$B$49</definedName>
    <definedName name="HGAL_CTNR_COST">'INPUT'!$B$16</definedName>
    <definedName name="HPT_CTNR_CST">'INPUT'!$B$21</definedName>
    <definedName name="INTEREST">'INPUT'!#REF!</definedName>
    <definedName name="_xlnm.Print_Area" localSheetId="2">'CNTNR COST'!$A$7:$G$146</definedName>
    <definedName name="_xlnm.Print_Area" localSheetId="1">'RAW'!$A$1:$K$22</definedName>
    <definedName name="_xlnm.Print_Area" localSheetId="4">'SCHEDULES'!$A$1:$M$72</definedName>
    <definedName name="_xlnm.Print_Titles" localSheetId="2">'CNTNR COST'!$1:$5</definedName>
    <definedName name="_xlnm.Print_Titles" localSheetId="3">'DETAIL'!$1:$7</definedName>
    <definedName name="PROCESS_CST">'INPUT'!$B$31</definedName>
    <definedName name="PROFIT">'INPUT'!$B$54</definedName>
    <definedName name="PT_CTNR_CST">'INPUT'!$B$18</definedName>
    <definedName name="QT_CTNR_CST">'INPUT'!$B$17</definedName>
    <definedName name="SC_ADDON">'INPUT'!$B$52</definedName>
    <definedName name="SCHEDULE_1">'SCHEDULES'!$A$1:$M$37</definedName>
    <definedName name="SCHEDULE_2">'SCHEDULES'!$A$38:$M$74</definedName>
    <definedName name="SCHEDULE_2A">#REF!</definedName>
    <definedName name="STOP_CHARGE">#REF!</definedName>
    <definedName name="TENoz_CTNRCST">'INPUT'!$B$20</definedName>
    <definedName name="Z_B925ED82_881F_11D2_AC8B_00A0247DF0CD_.wvu.PrintArea" localSheetId="2" hidden="1">'CNTNR COST'!$A$7:$G$146</definedName>
    <definedName name="Z_B925ED82_881F_11D2_AC8B_00A0247DF0CD_.wvu.PrintArea" localSheetId="3" hidden="1">'DETAIL'!$C$9:$N$146</definedName>
    <definedName name="Z_B925ED82_881F_11D2_AC8B_00A0247DF0CD_.wvu.PrintArea" localSheetId="1" hidden="1">'RAW'!$A$1:$K$22</definedName>
    <definedName name="Z_B925ED82_881F_11D2_AC8B_00A0247DF0CD_.wvu.PrintArea" localSheetId="4" hidden="1">'SCHEDULES'!$A$1:$M$72</definedName>
    <definedName name="Z_B925ED82_881F_11D2_AC8B_00A0247DF0CD_.wvu.PrintTitles" localSheetId="2" hidden="1">'CNTNR COST'!$1:$5</definedName>
    <definedName name="Z_B925ED82_881F_11D2_AC8B_00A0247DF0CD_.wvu.PrintTitles" localSheetId="3" hidden="1">'DETAIL'!$1:$7</definedName>
  </definedNames>
  <calcPr fullCalcOnLoad="1"/>
</workbook>
</file>

<file path=xl/sharedStrings.xml><?xml version="1.0" encoding="utf-8"?>
<sst xmlns="http://schemas.openxmlformats.org/spreadsheetml/2006/main" count="601" uniqueCount="187">
  <si>
    <t>SOUTH CENTRAL MILK MARKETING AREA,  AREA NO. 4</t>
  </si>
  <si>
    <t>DATA INPUT AREAS IN YELLOW CELLS</t>
  </si>
  <si>
    <t>&lt;</t>
  </si>
  <si>
    <t>Enter month and year</t>
  </si>
  <si>
    <t>TO PRINT SCHEDULES</t>
  </si>
  <si>
    <t>Go to "SCHEDULES" worksheet.</t>
  </si>
  <si>
    <t>Press "Ctrl P, Enter" to print Schedules I and II</t>
  </si>
  <si>
    <t>Enter number with 2 decimal places</t>
  </si>
  <si>
    <t>Enter number with 4 decimal places</t>
  </si>
  <si>
    <t>Energy Addon</t>
  </si>
  <si>
    <t>EXISTING</t>
  </si>
  <si>
    <t>PROCESSING COST</t>
  </si>
  <si>
    <t xml:space="preserve"> </t>
  </si>
  <si>
    <t>CONTAINER COSTS</t>
  </si>
  <si>
    <t>GALLON</t>
  </si>
  <si>
    <t>HALFGALLON</t>
  </si>
  <si>
    <t>QUART</t>
  </si>
  <si>
    <t>PINT</t>
  </si>
  <si>
    <t>HALF PINT</t>
  </si>
  <si>
    <t xml:space="preserve">4oz </t>
  </si>
  <si>
    <t>DISPENSER</t>
  </si>
  <si>
    <t>COST UPDATE ADJ.</t>
  </si>
  <si>
    <t>INGREDIENT COST</t>
  </si>
  <si>
    <t>STANDARD</t>
  </si>
  <si>
    <t>TWO PERCENT</t>
  </si>
  <si>
    <t>ONE PERCENT</t>
  </si>
  <si>
    <t>SKIM</t>
  </si>
  <si>
    <t>FLAVORED MILK</t>
  </si>
  <si>
    <t>FLAVORED MILK DRINK</t>
  </si>
  <si>
    <t>BUTTERMILK</t>
  </si>
  <si>
    <t>CREAM ADD-ONS</t>
  </si>
  <si>
    <t>DISPENSER H &amp; H</t>
  </si>
  <si>
    <t>HALF &amp; HALF ADD-ON</t>
  </si>
  <si>
    <t>CREAMER ADD-ON</t>
  </si>
  <si>
    <t>CREAM ADD-ON</t>
  </si>
  <si>
    <t>SOUR CREAM ADD-ON</t>
  </si>
  <si>
    <t>DEALER PROFIT</t>
  </si>
  <si>
    <t>RETAILER PROFIT</t>
  </si>
  <si>
    <t>IN-STORE HANDLING COST</t>
  </si>
  <si>
    <t>PENNSYLVANIA MILK MARKETING BOARD</t>
  </si>
  <si>
    <t>COMPUTATION OF RAW PRODUCT COST</t>
  </si>
  <si>
    <t>AREA 4 RESALE PRICE BUILD-UP</t>
  </si>
  <si>
    <t>BUTTERFAT</t>
  </si>
  <si>
    <t>COST PER</t>
  </si>
  <si>
    <t>INGREDIENT</t>
  </si>
  <si>
    <t>POUND</t>
  </si>
  <si>
    <t>ADJUSTMENT</t>
  </si>
  <si>
    <t>COST</t>
  </si>
  <si>
    <t>REDUCED FAT MILK, 2% MILKFAT</t>
  </si>
  <si>
    <t>LOW FAT MILK, 1% MILKFAT</t>
  </si>
  <si>
    <t>NONFAT MILK</t>
  </si>
  <si>
    <t>FLAVORED REDUCED FAT MILK</t>
  </si>
  <si>
    <t>HALF &amp; HALF (MIXED MILK)</t>
  </si>
  <si>
    <t>LIGHT CREAM, SOUR CREAM</t>
  </si>
  <si>
    <t>MEDIUM CREAM</t>
  </si>
  <si>
    <t>HEAVY CREAM</t>
  </si>
  <si>
    <t>UNADJUSTED COST PER CONTAINER - AREA 4</t>
  </si>
  <si>
    <t>POUNDS PER</t>
  </si>
  <si>
    <t>RAW MILK</t>
  </si>
  <si>
    <t>CONTAINER</t>
  </si>
  <si>
    <t>PROCESSING</t>
  </si>
  <si>
    <t>TOTAL</t>
  </si>
  <si>
    <t>UNIT</t>
  </si>
  <si>
    <t>1/2 GALLON</t>
  </si>
  <si>
    <t>10 OUNCE</t>
  </si>
  <si>
    <t>1/2 PINT</t>
  </si>
  <si>
    <t>4 OUNCE</t>
  </si>
  <si>
    <t>DISP. PER QT.</t>
  </si>
  <si>
    <t>HALF &amp; HALF</t>
  </si>
  <si>
    <t>3/8 OZ</t>
  </si>
  <si>
    <t>1/2 OZ</t>
  </si>
  <si>
    <t>3/4 OZ</t>
  </si>
  <si>
    <t>LIGHT CREAM</t>
  </si>
  <si>
    <t>SOUR CREAM</t>
  </si>
  <si>
    <t>AREA 4 PRICE BUILD-UP</t>
  </si>
  <si>
    <t>AVERAGE</t>
  </si>
  <si>
    <t>CREAM FIXED</t>
  </si>
  <si>
    <t>SMALL</t>
  </si>
  <si>
    <t>PRICE</t>
  </si>
  <si>
    <t>PROPOSED</t>
  </si>
  <si>
    <t>WHOLESALE</t>
  </si>
  <si>
    <t>RETAIL</t>
  </si>
  <si>
    <t>DELIVERED</t>
  </si>
  <si>
    <t>ADD-ON</t>
  </si>
  <si>
    <t>PROFIT</t>
  </si>
  <si>
    <t>WITH</t>
  </si>
  <si>
    <t>DELIVERY</t>
  </si>
  <si>
    <t>INCREASE</t>
  </si>
  <si>
    <t>INSTORE</t>
  </si>
  <si>
    <t>ADJUST.</t>
  </si>
  <si>
    <t>FACTOR</t>
  </si>
  <si>
    <t>(DECREASE)</t>
  </si>
  <si>
    <t>DISP./QT.</t>
  </si>
  <si>
    <t>LOWFAT MILK, 1% MILKFAT</t>
  </si>
  <si>
    <t>AREA  4</t>
  </si>
  <si>
    <t>SOUTH CENTRAL MILK MARKETING AREA</t>
  </si>
  <si>
    <t>BUTTERFAT %</t>
  </si>
  <si>
    <t>BULK</t>
  </si>
  <si>
    <t>NON-RETURNABLE</t>
  </si>
  <si>
    <t>PRODUCT</t>
  </si>
  <si>
    <t>RANGE</t>
  </si>
  <si>
    <t>PER QT.</t>
  </si>
  <si>
    <t>1/2 GAL.</t>
  </si>
  <si>
    <t>1/2 PT.</t>
  </si>
  <si>
    <t>DESCRIPTION</t>
  </si>
  <si>
    <t>CODE</t>
  </si>
  <si>
    <t>LOW</t>
  </si>
  <si>
    <t>HIGH</t>
  </si>
  <si>
    <t>EQUIV.</t>
  </si>
  <si>
    <t xml:space="preserve">/2/   </t>
  </si>
  <si>
    <t>4 OZ.</t>
  </si>
  <si>
    <t>STANDARD MILK</t>
  </si>
  <si>
    <t>MIXED MILK /3/</t>
  </si>
  <si>
    <t xml:space="preserve">    /1/    DEDUCT $0.06 IF SOLD IN REUSABLE CONTAINER WITH A 50 CENT DEPOSIT.</t>
  </si>
  <si>
    <t xml:space="preserve">    /2/    DEDUCT $0.04 IF SOLD IN REUSABLE CONTAINER WITH A 40 CENT DEPOSIT.</t>
  </si>
  <si>
    <t xml:space="preserve">    /3/    MIXED MILK PRICES:</t>
  </si>
  <si>
    <t xml:space="preserve">3/8 OZ. - </t>
  </si>
  <si>
    <t xml:space="preserve">1/2 OZ. - </t>
  </si>
  <si>
    <t xml:space="preserve">3/4 OZ. - </t>
  </si>
  <si>
    <t xml:space="preserve">             ADD $.02 PER QT. EQUIVALENT TO ESTABLISH RETAIL PRICES ON SCHEDULE II.</t>
  </si>
  <si>
    <t>MINIMUM RETAIL OUT-OF-STORE (CASH AND CARRY)</t>
  </si>
  <si>
    <t>SCHEDULE II /3/</t>
  </si>
  <si>
    <t xml:space="preserve">               </t>
  </si>
  <si>
    <t xml:space="preserve">     RANGE</t>
  </si>
  <si>
    <t xml:space="preserve">        /1/  DEDUCT $0.06 IF SOLD IN REUSABLE CONTAINER WITH A 50 CENT DEPOSIT.</t>
  </si>
  <si>
    <t xml:space="preserve">        /2/  DEDUCT $0.04 IF SOLD IN REUSABLE CONTAINER WITH A 40 CENT DEPOSIT.</t>
  </si>
  <si>
    <t xml:space="preserve">        /3/  ADD $0.04 PER QUART FOR HOME-DELIVERED MILK.</t>
  </si>
  <si>
    <t>SKIM RATE</t>
  </si>
  <si>
    <t>BUTTERFAT RATE</t>
  </si>
  <si>
    <t>CLASS I</t>
  </si>
  <si>
    <t>CLASS II</t>
  </si>
  <si>
    <t>POUNDS</t>
  </si>
  <si>
    <t>VALUE</t>
  </si>
  <si>
    <t>ENERGY %</t>
  </si>
  <si>
    <t xml:space="preserve">                                      SOUTH CENTRAL MILK MARKETING AREA</t>
  </si>
  <si>
    <t xml:space="preserve">                                                    MINIMUM WHOLESALE PRICES</t>
  </si>
  <si>
    <t xml:space="preserve">                                                    SCHEDULE I </t>
  </si>
  <si>
    <t>MILK</t>
  </si>
  <si>
    <t>REDUCED FAT  (2%)</t>
  </si>
  <si>
    <t>NONFAT  (SKIM)</t>
  </si>
  <si>
    <t>LOWFAT  (1%)</t>
  </si>
  <si>
    <t>STANDARD  (WHOLE)</t>
  </si>
  <si>
    <t>REDUCED FAT</t>
  </si>
  <si>
    <t>CREAM</t>
  </si>
  <si>
    <t>LIGHT</t>
  </si>
  <si>
    <t>MEDIUM</t>
  </si>
  <si>
    <t>HEAVY</t>
  </si>
  <si>
    <t>Consumer Price Index</t>
  </si>
  <si>
    <t>base</t>
  </si>
  <si>
    <t xml:space="preserve">    /4/    SCHOOLS DEDUCT $0.0143 PER 1/2 PINT.</t>
  </si>
  <si>
    <t>Class I Skim Value</t>
  </si>
  <si>
    <t>Class I Butterfat Value</t>
  </si>
  <si>
    <t>Adv. Adjusted Class II Skim Price</t>
  </si>
  <si>
    <t>Adv. Adjusted Class II Butterfat Price</t>
  </si>
  <si>
    <t>Existing</t>
  </si>
  <si>
    <t>EGGNOG</t>
  </si>
  <si>
    <t>EGG NOG</t>
  </si>
  <si>
    <t>Sept.2002</t>
  </si>
  <si>
    <t>/4/</t>
  </si>
  <si>
    <t>CASE</t>
  </si>
  <si>
    <t>CASE COST</t>
  </si>
  <si>
    <t>12 OUNCE</t>
  </si>
  <si>
    <t>12 OZ.</t>
  </si>
  <si>
    <t>10 OZ.</t>
  </si>
  <si>
    <t>BULK (PROFIT) LOSS</t>
  </si>
  <si>
    <t>PLASTIC CONTAINER ADD-ON</t>
  </si>
  <si>
    <t>FLAVORED NONFAT MILK</t>
  </si>
  <si>
    <t>FLAVORED NONFAT</t>
  </si>
  <si>
    <t>NONFAT</t>
  </si>
  <si>
    <t>NON-FAT FLAVORED MILK DRINK</t>
  </si>
  <si>
    <t>Enter number with 3 decimal places</t>
  </si>
  <si>
    <t>GAL.</t>
  </si>
  <si>
    <t>/1/</t>
  </si>
  <si>
    <t>enter amount after shrink %</t>
  </si>
  <si>
    <t>CPI Index - Base as of MAR-2021</t>
  </si>
  <si>
    <t>CPI Index - Current</t>
  </si>
  <si>
    <t>% increase/decrease from base</t>
  </si>
  <si>
    <t>Gallon</t>
  </si>
  <si>
    <t>Half Gallon</t>
  </si>
  <si>
    <t>Quart</t>
  </si>
  <si>
    <t>Pint</t>
  </si>
  <si>
    <t>12 oz</t>
  </si>
  <si>
    <t>10 oz</t>
  </si>
  <si>
    <t>Half Pint</t>
  </si>
  <si>
    <t>4 oz</t>
  </si>
  <si>
    <t>Bulk per QT</t>
  </si>
  <si>
    <t>OGO A-963 (CRO-14)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</si>
</sst>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mm\-yy_)"/>
    <numFmt numFmtId="166" formatCode="hh:mm\ AM/PM_)"/>
    <numFmt numFmtId="167" formatCode="0.0000_)"/>
    <numFmt numFmtId="168" formatCode="0.00_)"/>
    <numFmt numFmtId="169" formatCode="&quot;$&quot;#,##0.0000_);\(&quot;$&quot;#,##0.0000\)"/>
    <numFmt numFmtId="170" formatCode="#,##0.0000000_);\(#,##0.0000000\)"/>
    <numFmt numFmtId="171" formatCode="#,##0.0000_);\(#,##0.0000\)"/>
    <numFmt numFmtId="172" formatCode="0.000_)"/>
    <numFmt numFmtId="173" formatCode="&quot;$&quot;#,##0.000_);\(&quot;$&quot;#,##0.000\)"/>
    <numFmt numFmtId="174" formatCode="#,##0.000_);\(#,##0.000\)"/>
    <numFmt numFmtId="175" formatCode="#,##0.00000000_);\(#,##0.00000000\)"/>
    <numFmt numFmtId="176" formatCode="#,##0.000000_);\(#,##0.000000\)"/>
    <numFmt numFmtId="177" formatCode="&quot;$&quot;#,##0.0_);\(&quot;$&quot;#,##0.0\)"/>
    <numFmt numFmtId="178" formatCode="m/d/yy\ h:mm\ AM/PM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"/>
    <numFmt numFmtId="185" formatCode="0.0%"/>
    <numFmt numFmtId="186" formatCode="0.000%"/>
    <numFmt numFmtId="187" formatCode="0.0000%"/>
    <numFmt numFmtId="188" formatCode="0.00000%"/>
    <numFmt numFmtId="189" formatCode="_(&quot;$&quot;* #,##0.000_);_(&quot;$&quot;* \(#,##0.000\);_(&quot;$&quot;* &quot;-&quot;??_);_(@_)"/>
    <numFmt numFmtId="190" formatCode="_(&quot;$&quot;* #,##0.0000_);_(&quot;$&quot;* \(#,##0.0000\);_(&quot;$&quot;* &quot;-&quot;??_);_(@_)"/>
    <numFmt numFmtId="191" formatCode="#,##0.0000"/>
    <numFmt numFmtId="192" formatCode="&quot;$&quot;#,##0.0000"/>
    <numFmt numFmtId="193" formatCode="&quot;$&quot;#,##0.000"/>
    <numFmt numFmtId="194" formatCode="&quot;$&quot;#,##0.00"/>
    <numFmt numFmtId="195" formatCode="&quot;$&quot;#,##0.0"/>
    <numFmt numFmtId="196" formatCode="&quot;$&quot;#,##0"/>
    <numFmt numFmtId="197" formatCode="_(* #,##0.0_);_(* \(#,##0.0\);_(* &quot;-&quot;??_);_(@_)"/>
    <numFmt numFmtId="198" formatCode="_(* #,##0_);_(* \(#,##0\);_(* &quot;-&quot;??_);_(@_)"/>
    <numFmt numFmtId="199" formatCode="#,##0.0"/>
    <numFmt numFmtId="200" formatCode="_(* #,##0.0000_);_(* \(#,##0.0000\);_(* &quot;-&quot;??_);_(@_)"/>
    <numFmt numFmtId="201" formatCode="mmm\-yyyy"/>
    <numFmt numFmtId="202" formatCode="mmmm\-yyyy"/>
    <numFmt numFmtId="203" formatCode="&quot;$&quot;#,##0.0_);[Red]\(&quot;$&quot;#,##0.0\)"/>
    <numFmt numFmtId="204" formatCode="&quot;$&quot;#,##0.000_);[Red]\(&quot;$&quot;#,##0.000\)"/>
    <numFmt numFmtId="205" formatCode="&quot;$&quot;#,##0.0000_);[Red]\(&quot;$&quot;#,##0.0000\)"/>
    <numFmt numFmtId="206" formatCode="&quot;$&quot;#,##0.00000_);[Red]\(&quot;$&quot;#,##0.00000\)"/>
    <numFmt numFmtId="207" formatCode="&quot;$&quot;#,##0.000000_);[Red]\(&quot;$&quot;#,##0.000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_(* #,##0.0000_);_(* \(#,##0.0000\);_(* &quot;-&quot;????_);_(@_)"/>
    <numFmt numFmtId="212" formatCode="&quot;    /4/    ADD &quot;&quot;$&quot;* #,##0.0000_)&quot;WHEN SOLD IN RIGID PLASTIC CONTAINERS&quot;;\(&quot;$&quot;* \(#,##0.0000\);_(&quot;$&quot;* &quot;-&quot;_);_(@_)"/>
    <numFmt numFmtId="213" formatCode="_(* #,##0.000_);_(* \(#,##0.000\);_(* &quot;-&quot;??_);_(@_)"/>
    <numFmt numFmtId="214" formatCode="_(&quot;$&quot;* #,##0.00000_);_(&quot;$&quot;* \(#,##0.00000\);_(&quot;$&quot;* &quot;-&quot;??_);_(@_)"/>
  </numFmts>
  <fonts count="72">
    <font>
      <sz val="10"/>
      <name val="Arial"/>
      <family val="0"/>
    </font>
    <font>
      <b/>
      <sz val="18"/>
      <name val="Arial MT"/>
      <family val="0"/>
    </font>
    <font>
      <sz val="12"/>
      <name val="Arial MT"/>
      <family val="0"/>
    </font>
    <font>
      <b/>
      <sz val="14"/>
      <name val="Arial MT"/>
      <family val="0"/>
    </font>
    <font>
      <sz val="11"/>
      <name val="Arial MT"/>
      <family val="0"/>
    </font>
    <font>
      <sz val="12"/>
      <color indexed="8"/>
      <name val="Arial MT"/>
      <family val="0"/>
    </font>
    <font>
      <sz val="14"/>
      <name val="Arial"/>
      <family val="2"/>
    </font>
    <font>
      <sz val="24"/>
      <name val="Arial"/>
      <family val="2"/>
    </font>
    <font>
      <sz val="12"/>
      <color indexed="12"/>
      <name val="Arial MT"/>
      <family val="0"/>
    </font>
    <font>
      <b/>
      <sz val="1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28"/>
      <name val="Arial"/>
      <family val="2"/>
    </font>
    <font>
      <sz val="26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i/>
      <sz val="14"/>
      <color indexed="62"/>
      <name val="Arial MT"/>
      <family val="0"/>
    </font>
    <font>
      <sz val="16"/>
      <color indexed="13"/>
      <name val="Arial"/>
      <family val="2"/>
    </font>
    <font>
      <sz val="16"/>
      <color indexed="13"/>
      <name val="Arial MT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color indexed="9"/>
      <name val="Arial MT"/>
      <family val="0"/>
    </font>
    <font>
      <b/>
      <sz val="12"/>
      <name val="Antique Olive (W1)"/>
      <family val="0"/>
    </font>
    <font>
      <sz val="12"/>
      <name val="Antique Olive (W1)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ntique Olive (W1)"/>
      <family val="0"/>
    </font>
    <font>
      <b/>
      <sz val="12"/>
      <color indexed="9"/>
      <name val="Antique Olive (W1)"/>
      <family val="0"/>
    </font>
    <font>
      <sz val="8"/>
      <color indexed="9"/>
      <name val="Antique Olive (W1)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ntique Olive (W1)"/>
      <family val="0"/>
    </font>
    <font>
      <sz val="10"/>
      <color theme="0"/>
      <name val="Arial"/>
      <family val="2"/>
    </font>
    <font>
      <b/>
      <sz val="12"/>
      <color theme="0"/>
      <name val="Antique Olive (W1)"/>
      <family val="0"/>
    </font>
    <font>
      <sz val="8"/>
      <color theme="0"/>
      <name val="Antique Olive (W1)"/>
      <family val="0"/>
    </font>
    <font>
      <sz val="12"/>
      <color theme="0"/>
      <name val="Arial MT"/>
      <family val="0"/>
    </font>
    <font>
      <sz val="12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1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/>
      <protection/>
    </xf>
    <xf numFmtId="167" fontId="2" fillId="0" borderId="13" xfId="0" applyNumberFormat="1" applyFont="1" applyBorder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9" fontId="2" fillId="0" borderId="0" xfId="0" applyNumberFormat="1" applyFont="1" applyAlignment="1" applyProtection="1">
      <alignment/>
      <protection/>
    </xf>
    <xf numFmtId="171" fontId="2" fillId="0" borderId="13" xfId="0" applyNumberFormat="1" applyFont="1" applyBorder="1" applyAlignment="1" applyProtection="1">
      <alignment/>
      <protection/>
    </xf>
    <xf numFmtId="171" fontId="2" fillId="0" borderId="14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39" fontId="2" fillId="0" borderId="0" xfId="0" applyNumberFormat="1" applyFont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0" fontId="9" fillId="0" borderId="0" xfId="0" applyFont="1" applyAlignment="1">
      <alignment horizontal="centerContinuous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80" fontId="0" fillId="0" borderId="18" xfId="0" applyNumberFormat="1" applyBorder="1" applyAlignment="1">
      <alignment/>
    </xf>
    <xf numFmtId="182" fontId="0" fillId="0" borderId="18" xfId="0" applyNumberFormat="1" applyBorder="1" applyAlignment="1">
      <alignment/>
    </xf>
    <xf numFmtId="182" fontId="0" fillId="0" borderId="0" xfId="0" applyNumberFormat="1" applyAlignment="1">
      <alignment/>
    </xf>
    <xf numFmtId="0" fontId="9" fillId="0" borderId="0" xfId="0" applyFont="1" applyAlignment="1">
      <alignment horizontal="centerContinuous" vertical="center"/>
    </xf>
    <xf numFmtId="178" fontId="9" fillId="0" borderId="0" xfId="0" applyNumberFormat="1" applyFont="1" applyAlignment="1">
      <alignment horizontal="centerContinuous" vertical="center"/>
    </xf>
    <xf numFmtId="0" fontId="9" fillId="0" borderId="25" xfId="0" applyFont="1" applyBorder="1" applyAlignment="1">
      <alignment horizontal="center"/>
    </xf>
    <xf numFmtId="8" fontId="9" fillId="0" borderId="25" xfId="0" applyNumberFormat="1" applyFont="1" applyBorder="1" applyAlignment="1">
      <alignment horizontal="center"/>
    </xf>
    <xf numFmtId="8" fontId="0" fillId="0" borderId="26" xfId="0" applyNumberFormat="1" applyBorder="1" applyAlignment="1">
      <alignment/>
    </xf>
    <xf numFmtId="8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8" fontId="0" fillId="0" borderId="29" xfId="0" applyNumberFormat="1" applyBorder="1" applyAlignment="1">
      <alignment/>
    </xf>
    <xf numFmtId="180" fontId="0" fillId="0" borderId="21" xfId="0" applyNumberFormat="1" applyBorder="1" applyAlignment="1">
      <alignment/>
    </xf>
    <xf numFmtId="180" fontId="0" fillId="0" borderId="28" xfId="0" applyNumberFormat="1" applyBorder="1" applyAlignment="1">
      <alignment/>
    </xf>
    <xf numFmtId="180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171" fontId="2" fillId="0" borderId="14" xfId="0" applyNumberFormat="1" applyFont="1" applyBorder="1" applyAlignment="1" applyProtection="1" quotePrefix="1">
      <alignment/>
      <protection/>
    </xf>
    <xf numFmtId="0" fontId="11" fillId="0" borderId="0" xfId="0" applyFont="1" applyAlignment="1" quotePrefix="1">
      <alignment/>
    </xf>
    <xf numFmtId="0" fontId="2" fillId="0" borderId="0" xfId="0" applyFont="1" applyAlignment="1" applyProtection="1">
      <alignment horizontal="centerContinuous" vertical="center"/>
      <protection/>
    </xf>
    <xf numFmtId="0" fontId="13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14" fillId="0" borderId="0" xfId="0" applyFont="1" applyAlignment="1">
      <alignment horizontal="left"/>
    </xf>
    <xf numFmtId="0" fontId="12" fillId="0" borderId="15" xfId="0" applyFont="1" applyBorder="1" applyAlignment="1">
      <alignment/>
    </xf>
    <xf numFmtId="0" fontId="12" fillId="0" borderId="30" xfId="0" applyFont="1" applyBorder="1" applyAlignment="1">
      <alignment horizontal="centerContinuous" vertical="center"/>
    </xf>
    <xf numFmtId="0" fontId="12" fillId="0" borderId="31" xfId="0" applyFont="1" applyBorder="1" applyAlignment="1">
      <alignment horizontal="centerContinuous" vertical="center"/>
    </xf>
    <xf numFmtId="0" fontId="12" fillId="0" borderId="15" xfId="0" applyFont="1" applyBorder="1" applyAlignment="1">
      <alignment horizontal="center"/>
    </xf>
    <xf numFmtId="0" fontId="12" fillId="0" borderId="32" xfId="0" applyFont="1" applyBorder="1" applyAlignment="1">
      <alignment horizontal="centerContinuous" vertical="center"/>
    </xf>
    <xf numFmtId="0" fontId="12" fillId="0" borderId="33" xfId="0" applyFont="1" applyBorder="1" applyAlignment="1">
      <alignment horizontal="centerContinuous" vertical="center"/>
    </xf>
    <xf numFmtId="0" fontId="12" fillId="0" borderId="34" xfId="0" applyFont="1" applyBorder="1" applyAlignment="1">
      <alignment horizontal="centerContinuous" vertical="center"/>
    </xf>
    <xf numFmtId="0" fontId="12" fillId="0" borderId="25" xfId="0" applyFont="1" applyBorder="1" applyAlignment="1">
      <alignment/>
    </xf>
    <xf numFmtId="0" fontId="12" fillId="0" borderId="35" xfId="0" applyFont="1" applyBorder="1" applyAlignment="1">
      <alignment horizontal="centerContinuous" vertical="center"/>
    </xf>
    <xf numFmtId="0" fontId="12" fillId="0" borderId="36" xfId="0" applyFont="1" applyBorder="1" applyAlignment="1">
      <alignment horizontal="centerContinuous" vertical="center"/>
    </xf>
    <xf numFmtId="0" fontId="12" fillId="0" borderId="25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39" xfId="0" applyFont="1" applyBorder="1" applyAlignment="1">
      <alignment/>
    </xf>
    <xf numFmtId="0" fontId="12" fillId="0" borderId="40" xfId="0" applyFont="1" applyBorder="1" applyAlignment="1">
      <alignment/>
    </xf>
    <xf numFmtId="0" fontId="12" fillId="0" borderId="19" xfId="0" applyFont="1" applyBorder="1" applyAlignment="1">
      <alignment/>
    </xf>
    <xf numFmtId="2" fontId="12" fillId="0" borderId="19" xfId="0" applyNumberFormat="1" applyFont="1" applyBorder="1" applyAlignment="1">
      <alignment/>
    </xf>
    <xf numFmtId="180" fontId="12" fillId="0" borderId="19" xfId="0" applyNumberFormat="1" applyFont="1" applyBorder="1" applyAlignment="1">
      <alignment/>
    </xf>
    <xf numFmtId="180" fontId="12" fillId="0" borderId="41" xfId="0" applyNumberFormat="1" applyFont="1" applyBorder="1" applyAlignment="1">
      <alignment/>
    </xf>
    <xf numFmtId="0" fontId="12" fillId="0" borderId="42" xfId="0" applyFont="1" applyBorder="1" applyAlignment="1">
      <alignment/>
    </xf>
    <xf numFmtId="0" fontId="12" fillId="0" borderId="20" xfId="0" applyFont="1" applyBorder="1" applyAlignment="1">
      <alignment/>
    </xf>
    <xf numFmtId="2" fontId="12" fillId="0" borderId="20" xfId="0" applyNumberFormat="1" applyFont="1" applyBorder="1" applyAlignment="1">
      <alignment/>
    </xf>
    <xf numFmtId="180" fontId="12" fillId="0" borderId="20" xfId="0" applyNumberFormat="1" applyFont="1" applyBorder="1" applyAlignment="1">
      <alignment/>
    </xf>
    <xf numFmtId="180" fontId="12" fillId="0" borderId="43" xfId="0" applyNumberFormat="1" applyFont="1" applyBorder="1" applyAlignment="1">
      <alignment/>
    </xf>
    <xf numFmtId="0" fontId="12" fillId="0" borderId="44" xfId="0" applyFont="1" applyBorder="1" applyAlignment="1">
      <alignment/>
    </xf>
    <xf numFmtId="0" fontId="12" fillId="0" borderId="45" xfId="0" applyFont="1" applyBorder="1" applyAlignment="1">
      <alignment/>
    </xf>
    <xf numFmtId="2" fontId="12" fillId="0" borderId="45" xfId="0" applyNumberFormat="1" applyFont="1" applyBorder="1" applyAlignment="1">
      <alignment/>
    </xf>
    <xf numFmtId="180" fontId="12" fillId="0" borderId="45" xfId="0" applyNumberFormat="1" applyFont="1" applyBorder="1" applyAlignment="1">
      <alignment/>
    </xf>
    <xf numFmtId="180" fontId="12" fillId="0" borderId="46" xfId="0" applyNumberFormat="1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48" xfId="0" applyFont="1" applyBorder="1" applyAlignment="1">
      <alignment/>
    </xf>
    <xf numFmtId="2" fontId="12" fillId="0" borderId="48" xfId="0" applyNumberFormat="1" applyFont="1" applyBorder="1" applyAlignment="1">
      <alignment/>
    </xf>
    <xf numFmtId="180" fontId="12" fillId="0" borderId="48" xfId="0" applyNumberFormat="1" applyFont="1" applyBorder="1" applyAlignment="1">
      <alignment/>
    </xf>
    <xf numFmtId="180" fontId="12" fillId="0" borderId="49" xfId="0" applyNumberFormat="1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 applyProtection="1">
      <alignment/>
      <protection hidden="1"/>
    </xf>
    <xf numFmtId="0" fontId="15" fillId="0" borderId="0" xfId="0" applyFont="1" applyAlignment="1" applyProtection="1" quotePrefix="1">
      <alignment/>
      <protection hidden="1"/>
    </xf>
    <xf numFmtId="180" fontId="12" fillId="0" borderId="0" xfId="0" applyNumberFormat="1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7" fontId="17" fillId="33" borderId="50" xfId="0" applyNumberFormat="1" applyFont="1" applyFill="1" applyBorder="1" applyAlignment="1" applyProtection="1">
      <alignment horizontal="centerContinuous"/>
      <protection/>
    </xf>
    <xf numFmtId="0" fontId="19" fillId="33" borderId="51" xfId="0" applyFont="1" applyFill="1" applyBorder="1" applyAlignment="1" applyProtection="1">
      <alignment horizontal="centerContinuous"/>
      <protection/>
    </xf>
    <xf numFmtId="44" fontId="0" fillId="0" borderId="0" xfId="44" applyFont="1" applyAlignment="1">
      <alignment/>
    </xf>
    <xf numFmtId="180" fontId="0" fillId="0" borderId="52" xfId="0" applyNumberFormat="1" applyBorder="1" applyAlignment="1">
      <alignment/>
    </xf>
    <xf numFmtId="180" fontId="0" fillId="0" borderId="22" xfId="0" applyNumberFormat="1" applyBorder="1" applyAlignment="1">
      <alignment/>
    </xf>
    <xf numFmtId="180" fontId="0" fillId="0" borderId="53" xfId="0" applyNumberFormat="1" applyBorder="1" applyAlignment="1">
      <alignment/>
    </xf>
    <xf numFmtId="180" fontId="9" fillId="0" borderId="0" xfId="0" applyNumberFormat="1" applyFont="1" applyAlignment="1">
      <alignment horizontal="centerContinuous" vertical="center"/>
    </xf>
    <xf numFmtId="180" fontId="9" fillId="0" borderId="25" xfId="0" applyNumberFormat="1" applyFont="1" applyBorder="1" applyAlignment="1">
      <alignment horizontal="center"/>
    </xf>
    <xf numFmtId="180" fontId="9" fillId="0" borderId="16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10" fontId="9" fillId="0" borderId="25" xfId="59" applyNumberFormat="1" applyFont="1" applyBorder="1" applyAlignment="1">
      <alignment horizontal="center"/>
    </xf>
    <xf numFmtId="192" fontId="9" fillId="0" borderId="0" xfId="44" applyNumberFormat="1" applyFont="1" applyAlignment="1">
      <alignment horizontal="centerContinuous" vertical="center"/>
    </xf>
    <xf numFmtId="192" fontId="9" fillId="0" borderId="25" xfId="44" applyNumberFormat="1" applyFont="1" applyBorder="1" applyAlignment="1">
      <alignment horizontal="center"/>
    </xf>
    <xf numFmtId="192" fontId="9" fillId="0" borderId="16" xfId="44" applyNumberFormat="1" applyFont="1" applyBorder="1" applyAlignment="1">
      <alignment horizontal="center"/>
    </xf>
    <xf numFmtId="192" fontId="0" fillId="0" borderId="0" xfId="44" applyNumberFormat="1" applyFont="1" applyAlignment="1">
      <alignment/>
    </xf>
    <xf numFmtId="192" fontId="0" fillId="0" borderId="21" xfId="44" applyNumberFormat="1" applyFont="1" applyBorder="1" applyAlignment="1">
      <alignment/>
    </xf>
    <xf numFmtId="192" fontId="0" fillId="0" borderId="18" xfId="44" applyNumberFormat="1" applyFont="1" applyBorder="1" applyAlignment="1">
      <alignment/>
    </xf>
    <xf numFmtId="192" fontId="0" fillId="0" borderId="28" xfId="44" applyNumberFormat="1" applyFont="1" applyBorder="1" applyAlignment="1">
      <alignment/>
    </xf>
    <xf numFmtId="10" fontId="9" fillId="0" borderId="16" xfId="0" applyNumberFormat="1" applyFont="1" applyBorder="1" applyAlignment="1">
      <alignment horizontal="center"/>
    </xf>
    <xf numFmtId="0" fontId="0" fillId="0" borderId="0" xfId="0" applyAlignment="1">
      <alignment horizontal="centerContinuous" vertical="center"/>
    </xf>
    <xf numFmtId="0" fontId="9" fillId="0" borderId="54" xfId="0" applyFont="1" applyBorder="1" applyAlignment="1">
      <alignment/>
    </xf>
    <xf numFmtId="0" fontId="9" fillId="0" borderId="0" xfId="0" applyFont="1" applyBorder="1" applyAlignment="1">
      <alignment horizontal="center"/>
    </xf>
    <xf numFmtId="180" fontId="9" fillId="0" borderId="0" xfId="0" applyNumberFormat="1" applyFont="1" applyBorder="1" applyAlignment="1">
      <alignment horizontal="center"/>
    </xf>
    <xf numFmtId="192" fontId="9" fillId="0" borderId="0" xfId="44" applyNumberFormat="1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2" fontId="12" fillId="0" borderId="41" xfId="0" applyNumberFormat="1" applyFont="1" applyBorder="1" applyAlignment="1">
      <alignment/>
    </xf>
    <xf numFmtId="2" fontId="12" fillId="0" borderId="43" xfId="0" applyNumberFormat="1" applyFont="1" applyBorder="1" applyAlignment="1">
      <alignment/>
    </xf>
    <xf numFmtId="2" fontId="12" fillId="0" borderId="46" xfId="0" applyNumberFormat="1" applyFont="1" applyBorder="1" applyAlignment="1">
      <alignment/>
    </xf>
    <xf numFmtId="2" fontId="12" fillId="0" borderId="49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39" fontId="5" fillId="0" borderId="0" xfId="0" applyNumberFormat="1" applyFont="1" applyBorder="1" applyAlignment="1" applyProtection="1">
      <alignment/>
      <protection/>
    </xf>
    <xf numFmtId="167" fontId="2" fillId="0" borderId="14" xfId="0" applyNumberFormat="1" applyFont="1" applyBorder="1" applyAlignment="1" applyProtection="1">
      <alignment/>
      <protection/>
    </xf>
    <xf numFmtId="0" fontId="9" fillId="0" borderId="55" xfId="0" applyFont="1" applyBorder="1" applyAlignment="1">
      <alignment horizontal="center"/>
    </xf>
    <xf numFmtId="0" fontId="9" fillId="0" borderId="0" xfId="0" applyFont="1" applyBorder="1" applyAlignment="1">
      <alignment/>
    </xf>
    <xf numFmtId="182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8" fontId="0" fillId="0" borderId="27" xfId="0" applyNumberFormat="1" applyBorder="1" applyAlignment="1" quotePrefix="1">
      <alignment/>
    </xf>
    <xf numFmtId="0" fontId="2" fillId="0" borderId="0" xfId="0" applyFont="1" applyAlignment="1" applyProtection="1">
      <alignment horizontal="left"/>
      <protection/>
    </xf>
    <xf numFmtId="44" fontId="8" fillId="34" borderId="18" xfId="44" applyFont="1" applyFill="1" applyBorder="1" applyAlignment="1" applyProtection="1">
      <alignment/>
      <protection locked="0"/>
    </xf>
    <xf numFmtId="0" fontId="16" fillId="0" borderId="0" xfId="0" applyFont="1" applyAlignment="1" applyProtection="1">
      <alignment horizontal="left"/>
      <protection/>
    </xf>
    <xf numFmtId="0" fontId="0" fillId="33" borderId="51" xfId="0" applyFill="1" applyBorder="1" applyAlignment="1" applyProtection="1">
      <alignment horizontal="centerContinuous"/>
      <protection/>
    </xf>
    <xf numFmtId="0" fontId="18" fillId="33" borderId="51" xfId="0" applyFont="1" applyFill="1" applyBorder="1" applyAlignment="1" applyProtection="1">
      <alignment horizontal="centerContinuous"/>
      <protection/>
    </xf>
    <xf numFmtId="0" fontId="0" fillId="33" borderId="56" xfId="0" applyFill="1" applyBorder="1" applyAlignment="1" applyProtection="1">
      <alignment horizontal="centerContinuous"/>
      <protection/>
    </xf>
    <xf numFmtId="0" fontId="20" fillId="0" borderId="0" xfId="0" applyFont="1" applyAlignment="1" applyProtection="1">
      <alignment/>
      <protection/>
    </xf>
    <xf numFmtId="201" fontId="8" fillId="34" borderId="19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169" fontId="20" fillId="0" borderId="0" xfId="0" applyNumberFormat="1" applyFont="1" applyBorder="1" applyAlignment="1" applyProtection="1" quotePrefix="1">
      <alignment/>
      <protection hidden="1"/>
    </xf>
    <xf numFmtId="0" fontId="0" fillId="35" borderId="0" xfId="0" applyFont="1" applyFill="1" applyAlignment="1" applyProtection="1">
      <alignment/>
      <protection/>
    </xf>
    <xf numFmtId="201" fontId="9" fillId="0" borderId="25" xfId="44" applyNumberFormat="1" applyFont="1" applyBorder="1" applyAlignment="1">
      <alignment horizontal="center"/>
    </xf>
    <xf numFmtId="192" fontId="9" fillId="0" borderId="25" xfId="44" applyNumberFormat="1" applyFont="1" applyFill="1" applyBorder="1" applyAlignment="1">
      <alignment horizontal="center"/>
    </xf>
    <xf numFmtId="190" fontId="8" fillId="34" borderId="18" xfId="44" applyNumberFormat="1" applyFont="1" applyFill="1" applyBorder="1" applyAlignment="1" applyProtection="1">
      <alignment/>
      <protection locked="0"/>
    </xf>
    <xf numFmtId="0" fontId="14" fillId="0" borderId="0" xfId="0" applyFont="1" applyAlignment="1">
      <alignment horizontal="centerContinuous" vertical="center"/>
    </xf>
    <xf numFmtId="202" fontId="7" fillId="0" borderId="0" xfId="0" applyNumberFormat="1" applyFont="1" applyAlignment="1">
      <alignment horizontal="left"/>
    </xf>
    <xf numFmtId="0" fontId="21" fillId="0" borderId="0" xfId="0" applyFont="1" applyBorder="1" applyAlignment="1" applyProtection="1">
      <alignment/>
      <protection/>
    </xf>
    <xf numFmtId="169" fontId="21" fillId="0" borderId="0" xfId="0" applyNumberFormat="1" applyFont="1" applyBorder="1" applyAlignment="1" applyProtection="1" quotePrefix="1">
      <alignment/>
      <protection hidden="1"/>
    </xf>
    <xf numFmtId="0" fontId="21" fillId="0" borderId="0" xfId="0" applyFont="1" applyAlignment="1" applyProtection="1">
      <alignment horizontal="right"/>
      <protection/>
    </xf>
    <xf numFmtId="0" fontId="21" fillId="0" borderId="0" xfId="0" applyFont="1" applyAlignment="1" applyProtection="1">
      <alignment/>
      <protection/>
    </xf>
    <xf numFmtId="171" fontId="5" fillId="0" borderId="0" xfId="0" applyNumberFormat="1" applyFont="1" applyBorder="1" applyAlignment="1" applyProtection="1">
      <alignment/>
      <protection/>
    </xf>
    <xf numFmtId="0" fontId="2" fillId="0" borderId="57" xfId="0" applyFont="1" applyBorder="1" applyAlignment="1" applyProtection="1">
      <alignment horizontal="right"/>
      <protection/>
    </xf>
    <xf numFmtId="0" fontId="2" fillId="0" borderId="18" xfId="0" applyFont="1" applyBorder="1" applyAlignment="1" applyProtection="1">
      <alignment/>
      <protection/>
    </xf>
    <xf numFmtId="171" fontId="5" fillId="0" borderId="58" xfId="0" applyNumberFormat="1" applyFont="1" applyBorder="1" applyAlignment="1" applyProtection="1">
      <alignment/>
      <protection/>
    </xf>
    <xf numFmtId="39" fontId="5" fillId="0" borderId="59" xfId="0" applyNumberFormat="1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198" fontId="2" fillId="0" borderId="13" xfId="42" applyNumberFormat="1" applyFont="1" applyBorder="1" applyAlignment="1" applyProtection="1">
      <alignment/>
      <protection/>
    </xf>
    <xf numFmtId="0" fontId="0" fillId="0" borderId="13" xfId="0" applyBorder="1" applyAlignment="1">
      <alignment/>
    </xf>
    <xf numFmtId="198" fontId="2" fillId="0" borderId="14" xfId="42" applyNumberFormat="1" applyFont="1" applyBorder="1" applyAlignment="1" applyProtection="1">
      <alignment/>
      <protection/>
    </xf>
    <xf numFmtId="0" fontId="2" fillId="0" borderId="57" xfId="0" applyFont="1" applyBorder="1" applyAlignment="1" applyProtection="1">
      <alignment horizontal="center"/>
      <protection/>
    </xf>
    <xf numFmtId="0" fontId="0" fillId="0" borderId="0" xfId="0" applyFont="1" applyAlignment="1">
      <alignment shrinkToFit="1"/>
    </xf>
    <xf numFmtId="39" fontId="0" fillId="0" borderId="59" xfId="0" applyNumberFormat="1" applyFont="1" applyBorder="1" applyAlignment="1">
      <alignment horizontal="centerContinuous" vertical="center" shrinkToFit="1"/>
    </xf>
    <xf numFmtId="0" fontId="0" fillId="0" borderId="58" xfId="0" applyFont="1" applyBorder="1" applyAlignment="1">
      <alignment horizontal="centerContinuous" vertical="center" shrinkToFit="1"/>
    </xf>
    <xf numFmtId="0" fontId="0" fillId="0" borderId="18" xfId="0" applyFont="1" applyBorder="1" applyAlignment="1">
      <alignment horizontal="centerContinuous" vertical="center" shrinkToFit="1"/>
    </xf>
    <xf numFmtId="0" fontId="9" fillId="0" borderId="0" xfId="0" applyFont="1" applyBorder="1" applyAlignment="1">
      <alignment horizontal="centerContinuous" vertical="center" shrinkToFit="1"/>
    </xf>
    <xf numFmtId="0" fontId="0" fillId="0" borderId="57" xfId="0" applyFont="1" applyBorder="1" applyAlignment="1">
      <alignment horizontal="centerContinuous" vertical="center" shrinkToFit="1"/>
    </xf>
    <xf numFmtId="180" fontId="0" fillId="0" borderId="19" xfId="0" applyNumberFormat="1" applyFont="1" applyBorder="1" applyAlignment="1">
      <alignment horizontal="centerContinuous" vertical="center" shrinkToFit="1"/>
    </xf>
    <xf numFmtId="0" fontId="0" fillId="0" borderId="0" xfId="0" applyFont="1" applyBorder="1" applyAlignment="1">
      <alignment horizontal="centerContinuous" shrinkToFit="1"/>
    </xf>
    <xf numFmtId="180" fontId="12" fillId="0" borderId="48" xfId="0" applyNumberFormat="1" applyFont="1" applyBorder="1" applyAlignment="1">
      <alignment horizontal="right"/>
    </xf>
    <xf numFmtId="0" fontId="22" fillId="0" borderId="0" xfId="0" applyFont="1" applyAlignment="1">
      <alignment/>
    </xf>
    <xf numFmtId="180" fontId="0" fillId="0" borderId="20" xfId="0" applyNumberFormat="1" applyFont="1" applyBorder="1" applyAlignment="1">
      <alignment shrinkToFit="1"/>
    </xf>
    <xf numFmtId="0" fontId="9" fillId="0" borderId="33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55" xfId="0" applyBorder="1" applyAlignment="1">
      <alignment horizontal="center" vertical="center" textRotation="90"/>
    </xf>
    <xf numFmtId="0" fontId="0" fillId="0" borderId="60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192" fontId="0" fillId="0" borderId="0" xfId="44" applyNumberFormat="1" applyFont="1" applyBorder="1" applyAlignment="1">
      <alignment/>
    </xf>
    <xf numFmtId="8" fontId="0" fillId="0" borderId="0" xfId="0" applyNumberFormat="1" applyBorder="1" applyAlignment="1">
      <alignment/>
    </xf>
    <xf numFmtId="180" fontId="0" fillId="0" borderId="44" xfId="0" applyNumberFormat="1" applyBorder="1" applyAlignment="1">
      <alignment/>
    </xf>
    <xf numFmtId="180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192" fontId="0" fillId="0" borderId="45" xfId="44" applyNumberFormat="1" applyFont="1" applyBorder="1" applyAlignment="1">
      <alignment/>
    </xf>
    <xf numFmtId="8" fontId="0" fillId="0" borderId="46" xfId="0" applyNumberFormat="1" applyBorder="1" applyAlignment="1">
      <alignment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/>
    </xf>
    <xf numFmtId="0" fontId="25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0" fillId="0" borderId="16" xfId="0" applyBorder="1" applyAlignment="1" quotePrefix="1">
      <alignment horizontal="center"/>
    </xf>
    <xf numFmtId="0" fontId="12" fillId="0" borderId="0" xfId="0" applyFont="1" applyFill="1" applyAlignment="1" applyProtection="1">
      <alignment horizontal="centerContinuous"/>
      <protection/>
    </xf>
    <xf numFmtId="0" fontId="27" fillId="0" borderId="0" xfId="0" applyFont="1" applyFill="1" applyBorder="1" applyAlignment="1" applyProtection="1">
      <alignment/>
      <protection hidden="1"/>
    </xf>
    <xf numFmtId="0" fontId="28" fillId="0" borderId="0" xfId="0" applyFont="1" applyFill="1" applyBorder="1" applyAlignment="1" applyProtection="1">
      <alignment/>
      <protection hidden="1"/>
    </xf>
    <xf numFmtId="0" fontId="26" fillId="0" borderId="0" xfId="0" applyFont="1" applyFill="1" applyAlignment="1" applyProtection="1">
      <alignment/>
      <protection hidden="1"/>
    </xf>
    <xf numFmtId="190" fontId="26" fillId="0" borderId="0" xfId="44" applyNumberFormat="1" applyFont="1" applyFill="1" applyBorder="1" applyAlignment="1" applyProtection="1">
      <alignment/>
      <protection locked="0"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190" fontId="15" fillId="0" borderId="0" xfId="44" applyNumberFormat="1" applyFont="1" applyFill="1" applyAlignment="1" applyProtection="1">
      <alignment/>
      <protection hidden="1"/>
    </xf>
    <xf numFmtId="0" fontId="12" fillId="0" borderId="0" xfId="0" applyFont="1" applyAlignment="1" quotePrefix="1">
      <alignment/>
    </xf>
    <xf numFmtId="190" fontId="2" fillId="34" borderId="20" xfId="44" applyNumberFormat="1" applyFont="1" applyFill="1" applyBorder="1" applyAlignment="1" applyProtection="1">
      <alignment/>
      <protection locked="0"/>
    </xf>
    <xf numFmtId="190" fontId="2" fillId="34" borderId="45" xfId="44" applyNumberFormat="1" applyFont="1" applyFill="1" applyBorder="1" applyAlignment="1" applyProtection="1">
      <alignment/>
      <protection locked="0"/>
    </xf>
    <xf numFmtId="190" fontId="2" fillId="34" borderId="19" xfId="44" applyNumberFormat="1" applyFont="1" applyFill="1" applyBorder="1" applyAlignment="1" applyProtection="1">
      <alignment/>
      <protection locked="0"/>
    </xf>
    <xf numFmtId="198" fontId="2" fillId="34" borderId="61" xfId="42" applyNumberFormat="1" applyFont="1" applyFill="1" applyBorder="1" applyAlignment="1" applyProtection="1">
      <alignment/>
      <protection/>
    </xf>
    <xf numFmtId="198" fontId="2" fillId="34" borderId="14" xfId="42" applyNumberFormat="1" applyFont="1" applyFill="1" applyBorder="1" applyAlignment="1" applyProtection="1">
      <alignment/>
      <protection/>
    </xf>
    <xf numFmtId="198" fontId="2" fillId="34" borderId="62" xfId="42" applyNumberFormat="1" applyFont="1" applyFill="1" applyBorder="1" applyAlignment="1" applyProtection="1">
      <alignment/>
      <protection/>
    </xf>
    <xf numFmtId="198" fontId="2" fillId="34" borderId="13" xfId="42" applyNumberFormat="1" applyFont="1" applyFill="1" applyBorder="1" applyAlignment="1" applyProtection="1">
      <alignment/>
      <protection/>
    </xf>
    <xf numFmtId="213" fontId="8" fillId="34" borderId="18" xfId="42" applyNumberFormat="1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centerContinuous"/>
      <protection/>
    </xf>
    <xf numFmtId="1" fontId="9" fillId="0" borderId="31" xfId="0" applyNumberFormat="1" applyFont="1" applyBorder="1" applyAlignment="1">
      <alignment horizontal="center"/>
    </xf>
    <xf numFmtId="180" fontId="9" fillId="0" borderId="60" xfId="0" applyNumberFormat="1" applyFont="1" applyBorder="1" applyAlignment="1">
      <alignment horizontal="center"/>
    </xf>
    <xf numFmtId="180" fontId="9" fillId="0" borderId="36" xfId="0" applyNumberFormat="1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0" fillId="0" borderId="55" xfId="0" applyBorder="1" applyAlignment="1">
      <alignment/>
    </xf>
    <xf numFmtId="180" fontId="9" fillId="0" borderId="55" xfId="0" applyNumberFormat="1" applyFont="1" applyBorder="1" applyAlignment="1">
      <alignment horizontal="center"/>
    </xf>
    <xf numFmtId="180" fontId="9" fillId="0" borderId="35" xfId="0" applyNumberFormat="1" applyFont="1" applyBorder="1" applyAlignment="1">
      <alignment horizontal="center"/>
    </xf>
    <xf numFmtId="0" fontId="66" fillId="0" borderId="0" xfId="0" applyFont="1" applyFill="1" applyBorder="1" applyAlignment="1" applyProtection="1">
      <alignment/>
      <protection hidden="1"/>
    </xf>
    <xf numFmtId="0" fontId="67" fillId="0" borderId="0" xfId="0" applyFont="1" applyFill="1" applyAlignment="1" applyProtection="1">
      <alignment/>
      <protection/>
    </xf>
    <xf numFmtId="0" fontId="68" fillId="0" borderId="0" xfId="0" applyFont="1" applyFill="1" applyBorder="1" applyAlignment="1" applyProtection="1">
      <alignment/>
      <protection hidden="1"/>
    </xf>
    <xf numFmtId="0" fontId="66" fillId="0" borderId="0" xfId="0" applyFont="1" applyFill="1" applyAlignment="1" applyProtection="1">
      <alignment/>
      <protection hidden="1"/>
    </xf>
    <xf numFmtId="167" fontId="66" fillId="0" borderId="0" xfId="0" applyNumberFormat="1" applyFont="1" applyFill="1" applyBorder="1" applyAlignment="1" applyProtection="1">
      <alignment/>
      <protection hidden="1"/>
    </xf>
    <xf numFmtId="171" fontId="66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>
      <alignment horizontal="center" vertical="center" textRotation="88"/>
    </xf>
    <xf numFmtId="190" fontId="2" fillId="36" borderId="20" xfId="44" applyNumberFormat="1" applyFont="1" applyFill="1" applyBorder="1" applyAlignment="1" applyProtection="1">
      <alignment/>
      <protection locked="0"/>
    </xf>
    <xf numFmtId="190" fontId="2" fillId="36" borderId="19" xfId="44" applyNumberFormat="1" applyFont="1" applyFill="1" applyBorder="1" applyAlignment="1" applyProtection="1">
      <alignment/>
      <protection locked="0"/>
    </xf>
    <xf numFmtId="180" fontId="66" fillId="0" borderId="0" xfId="0" applyNumberFormat="1" applyFont="1" applyFill="1" applyBorder="1" applyAlignment="1" applyProtection="1">
      <alignment/>
      <protection hidden="1"/>
    </xf>
    <xf numFmtId="10" fontId="66" fillId="0" borderId="0" xfId="0" applyNumberFormat="1" applyFont="1" applyFill="1" applyBorder="1" applyAlignment="1" applyProtection="1">
      <alignment/>
      <protection hidden="1"/>
    </xf>
    <xf numFmtId="0" fontId="69" fillId="0" borderId="0" xfId="0" applyFont="1" applyFill="1" applyBorder="1" applyAlignment="1" applyProtection="1">
      <alignment horizontal="right"/>
      <protection hidden="1"/>
    </xf>
    <xf numFmtId="190" fontId="70" fillId="0" borderId="0" xfId="44" applyNumberFormat="1" applyFont="1" applyFill="1" applyBorder="1" applyAlignment="1" applyProtection="1">
      <alignment/>
      <protection hidden="1"/>
    </xf>
    <xf numFmtId="0" fontId="66" fillId="0" borderId="0" xfId="0" applyFont="1" applyFill="1" applyBorder="1" applyAlignment="1" applyProtection="1">
      <alignment horizontal="right"/>
      <protection hidden="1"/>
    </xf>
    <xf numFmtId="0" fontId="70" fillId="0" borderId="0" xfId="0" applyFont="1" applyFill="1" applyBorder="1" applyAlignment="1" applyProtection="1">
      <alignment/>
      <protection/>
    </xf>
    <xf numFmtId="171" fontId="70" fillId="0" borderId="0" xfId="0" applyNumberFormat="1" applyFont="1" applyFill="1" applyBorder="1" applyAlignment="1" applyProtection="1" quotePrefix="1">
      <alignment/>
      <protection/>
    </xf>
    <xf numFmtId="0" fontId="66" fillId="0" borderId="0" xfId="0" applyFont="1" applyFill="1" applyAlignment="1" applyProtection="1">
      <alignment/>
      <protection hidden="1"/>
    </xf>
    <xf numFmtId="0" fontId="66" fillId="0" borderId="0" xfId="0" applyFont="1" applyFill="1" applyBorder="1" applyAlignment="1" applyProtection="1">
      <alignment/>
      <protection hidden="1"/>
    </xf>
    <xf numFmtId="190" fontId="2" fillId="36" borderId="45" xfId="44" applyNumberFormat="1" applyFont="1" applyFill="1" applyBorder="1" applyAlignment="1" applyProtection="1">
      <alignment/>
      <protection locked="0"/>
    </xf>
    <xf numFmtId="180" fontId="0" fillId="37" borderId="21" xfId="0" applyNumberFormat="1" applyFill="1" applyBorder="1" applyAlignment="1">
      <alignment/>
    </xf>
    <xf numFmtId="180" fontId="0" fillId="37" borderId="18" xfId="0" applyNumberFormat="1" applyFill="1" applyBorder="1" applyAlignment="1">
      <alignment/>
    </xf>
    <xf numFmtId="180" fontId="0" fillId="37" borderId="28" xfId="0" applyNumberFormat="1" applyFill="1" applyBorder="1" applyAlignment="1">
      <alignment/>
    </xf>
    <xf numFmtId="0" fontId="20" fillId="38" borderId="0" xfId="0" applyFont="1" applyFill="1" applyAlignment="1" applyProtection="1">
      <alignment/>
      <protection/>
    </xf>
    <xf numFmtId="0" fontId="67" fillId="0" borderId="0" xfId="0" applyFont="1" applyAlignment="1" applyProtection="1">
      <alignment/>
      <protection/>
    </xf>
    <xf numFmtId="0" fontId="71" fillId="0" borderId="0" xfId="0" applyFont="1" applyFill="1" applyAlignment="1" applyProtection="1">
      <alignment/>
      <protection/>
    </xf>
    <xf numFmtId="180" fontId="67" fillId="0" borderId="0" xfId="0" applyNumberFormat="1" applyFont="1" applyFill="1" applyAlignment="1" applyProtection="1">
      <alignment/>
      <protection/>
    </xf>
    <xf numFmtId="180" fontId="66" fillId="0" borderId="0" xfId="0" applyNumberFormat="1" applyFont="1" applyFill="1" applyBorder="1" applyAlignment="1" applyProtection="1">
      <alignment/>
      <protection/>
    </xf>
    <xf numFmtId="0" fontId="66" fillId="0" borderId="0" xfId="0" applyFont="1" applyFill="1" applyBorder="1" applyAlignment="1" applyProtection="1">
      <alignment/>
      <protection/>
    </xf>
    <xf numFmtId="180" fontId="66" fillId="0" borderId="0" xfId="0" applyNumberFormat="1" applyFont="1" applyFill="1" applyAlignment="1" applyProtection="1">
      <alignment/>
      <protection hidden="1"/>
    </xf>
    <xf numFmtId="171" fontId="66" fillId="0" borderId="0" xfId="0" applyNumberFormat="1" applyFont="1" applyFill="1" applyBorder="1" applyAlignment="1" applyProtection="1">
      <alignment/>
      <protection/>
    </xf>
    <xf numFmtId="10" fontId="71" fillId="0" borderId="0" xfId="0" applyNumberFormat="1" applyFont="1" applyFill="1" applyAlignment="1" applyProtection="1">
      <alignment/>
      <protection/>
    </xf>
    <xf numFmtId="10" fontId="66" fillId="0" borderId="0" xfId="0" applyNumberFormat="1" applyFont="1" applyFill="1" applyBorder="1" applyAlignment="1" applyProtection="1">
      <alignment/>
      <protection/>
    </xf>
    <xf numFmtId="171" fontId="67" fillId="0" borderId="0" xfId="0" applyNumberFormat="1" applyFont="1" applyFill="1" applyAlignment="1" applyProtection="1">
      <alignment/>
      <protection/>
    </xf>
    <xf numFmtId="44" fontId="2" fillId="34" borderId="18" xfId="44" applyFont="1" applyFill="1" applyBorder="1" applyAlignment="1" applyProtection="1">
      <alignment/>
      <protection locked="0"/>
    </xf>
    <xf numFmtId="0" fontId="67" fillId="0" borderId="0" xfId="0" applyFont="1" applyFill="1" applyAlignment="1" applyProtection="1">
      <alignment/>
      <protection hidden="1"/>
    </xf>
    <xf numFmtId="187" fontId="67" fillId="0" borderId="0" xfId="59" applyNumberFormat="1" applyFont="1" applyFill="1" applyAlignment="1" applyProtection="1">
      <alignment/>
      <protection hidden="1"/>
    </xf>
    <xf numFmtId="190" fontId="67" fillId="0" borderId="0" xfId="44" applyNumberFormat="1" applyFont="1" applyFill="1" applyAlignment="1" applyProtection="1">
      <alignment/>
      <protection hidden="1"/>
    </xf>
    <xf numFmtId="187" fontId="67" fillId="0" borderId="0" xfId="0" applyNumberFormat="1" applyFont="1" applyFill="1" applyAlignment="1" applyProtection="1">
      <alignment/>
      <protection hidden="1"/>
    </xf>
    <xf numFmtId="0" fontId="67" fillId="0" borderId="0" xfId="0" applyFont="1" applyAlignment="1" applyProtection="1">
      <alignment/>
      <protection hidden="1"/>
    </xf>
    <xf numFmtId="0" fontId="0" fillId="0" borderId="30" xfId="0" applyBorder="1" applyAlignment="1">
      <alignment horizontal="center" vertical="center" textRotation="90"/>
    </xf>
    <xf numFmtId="0" fontId="0" fillId="0" borderId="55" xfId="0" applyBorder="1" applyAlignment="1">
      <alignment horizontal="center" vertical="center" textRotation="90"/>
    </xf>
    <xf numFmtId="0" fontId="0" fillId="0" borderId="35" xfId="0" applyBorder="1" applyAlignment="1">
      <alignment horizontal="center" vertical="center" textRotation="90"/>
    </xf>
    <xf numFmtId="0" fontId="0" fillId="0" borderId="31" xfId="0" applyBorder="1" applyAlignment="1">
      <alignment horizontal="center" vertical="center" textRotation="88"/>
    </xf>
    <xf numFmtId="0" fontId="0" fillId="0" borderId="60" xfId="0" applyBorder="1" applyAlignment="1">
      <alignment horizontal="center" vertical="center" textRotation="88"/>
    </xf>
    <xf numFmtId="0" fontId="0" fillId="0" borderId="36" xfId="0" applyBorder="1" applyAlignment="1">
      <alignment horizontal="center" vertical="center" textRotation="88"/>
    </xf>
    <xf numFmtId="0" fontId="0" fillId="0" borderId="3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60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0" xfId="0" applyFont="1" applyBorder="1" applyAlignment="1">
      <alignment horizontal="center" vertical="center" textRotation="90"/>
    </xf>
    <xf numFmtId="0" fontId="0" fillId="0" borderId="31" xfId="0" applyBorder="1" applyAlignment="1">
      <alignment horizontal="center" vertical="center" textRotation="90"/>
    </xf>
    <xf numFmtId="0" fontId="0" fillId="0" borderId="60" xfId="0" applyBorder="1" applyAlignment="1">
      <alignment horizontal="center" vertical="center" textRotation="90"/>
    </xf>
    <xf numFmtId="0" fontId="0" fillId="0" borderId="36" xfId="0" applyBorder="1" applyAlignment="1">
      <alignment horizontal="center" vertical="center" textRotation="90"/>
    </xf>
    <xf numFmtId="0" fontId="0" fillId="0" borderId="50" xfId="0" applyFont="1" applyBorder="1" applyAlignment="1">
      <alignment horizontal="center" shrinkToFit="1"/>
    </xf>
    <xf numFmtId="0" fontId="0" fillId="0" borderId="51" xfId="0" applyFont="1" applyBorder="1" applyAlignment="1">
      <alignment horizontal="center" shrinkToFit="1"/>
    </xf>
    <xf numFmtId="0" fontId="0" fillId="0" borderId="56" xfId="0" applyFont="1" applyBorder="1" applyAlignment="1">
      <alignment horizontal="center" shrinkToFit="1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54" xfId="0" applyFont="1" applyBorder="1" applyAlignment="1">
      <alignment horizontal="center"/>
    </xf>
    <xf numFmtId="212" fontId="12" fillId="0" borderId="0" xfId="0" applyNumberFormat="1" applyFont="1" applyAlignment="1">
      <alignment horizontal="center"/>
    </xf>
    <xf numFmtId="0" fontId="70" fillId="0" borderId="0" xfId="0" applyFont="1" applyFill="1" applyAlignment="1" applyProtection="1">
      <alignment/>
      <protection hidden="1"/>
    </xf>
    <xf numFmtId="190" fontId="70" fillId="0" borderId="0" xfId="44" applyNumberFormat="1" applyFont="1" applyFill="1" applyBorder="1" applyAlignment="1" applyProtection="1">
      <alignment/>
      <protection locked="0"/>
    </xf>
    <xf numFmtId="0" fontId="67" fillId="0" borderId="0" xfId="0" applyFont="1" applyFill="1" applyAlignment="1" applyProtection="1">
      <alignment horizontal="right"/>
      <protection/>
    </xf>
    <xf numFmtId="0" fontId="68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 applyProtection="1">
      <alignment horizontal="center"/>
      <protection hidden="1"/>
    </xf>
    <xf numFmtId="0" fontId="68" fillId="0" borderId="0" xfId="0" applyFont="1" applyFill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6"/>
  <sheetViews>
    <sheetView tabSelected="1" zoomScale="70" zoomScaleNormal="70" zoomScalePageLayoutView="0" workbookViewId="0" topLeftCell="A1">
      <selection activeCell="K9" sqref="K9"/>
    </sheetView>
  </sheetViews>
  <sheetFormatPr defaultColWidth="9.140625" defaultRowHeight="12.75"/>
  <cols>
    <col min="1" max="1" width="39.28125" style="12" customWidth="1"/>
    <col min="2" max="2" width="14.00390625" style="12" customWidth="1"/>
    <col min="3" max="3" width="2.421875" style="12" customWidth="1"/>
    <col min="4" max="4" width="14.00390625" style="12" customWidth="1"/>
    <col min="5" max="5" width="11.140625" style="12" customWidth="1"/>
    <col min="6" max="6" width="9.140625" style="12" customWidth="1"/>
    <col min="7" max="8" width="9.8515625" style="12" customWidth="1"/>
    <col min="9" max="16384" width="9.140625" style="12" customWidth="1"/>
  </cols>
  <sheetData>
    <row r="1" spans="1:2" ht="18.75" thickBot="1">
      <c r="A1" s="90" t="s">
        <v>0</v>
      </c>
      <c r="B1" s="4"/>
    </row>
    <row r="2" spans="1:7" ht="21" thickBot="1">
      <c r="A2" s="213" t="s">
        <v>186</v>
      </c>
      <c r="B2" s="95" t="s">
        <v>1</v>
      </c>
      <c r="C2" s="138"/>
      <c r="D2" s="139"/>
      <c r="E2" s="139"/>
      <c r="F2" s="96"/>
      <c r="G2" s="140"/>
    </row>
    <row r="3" spans="1:4" ht="15">
      <c r="A3" s="196"/>
      <c r="B3" s="142"/>
      <c r="C3" s="91" t="s">
        <v>2</v>
      </c>
      <c r="D3" s="92" t="s">
        <v>3</v>
      </c>
    </row>
    <row r="4" spans="1:6" ht="15">
      <c r="A4" s="4"/>
      <c r="B4" s="144"/>
      <c r="C4" s="91"/>
      <c r="D4" s="145" t="s">
        <v>4</v>
      </c>
      <c r="E4" s="145"/>
      <c r="F4" s="145"/>
    </row>
    <row r="5" spans="1:6" ht="15">
      <c r="A5" s="4"/>
      <c r="B5" s="144"/>
      <c r="C5" s="91"/>
      <c r="D5" s="145" t="s">
        <v>5</v>
      </c>
      <c r="E5" s="145"/>
      <c r="F5" s="145"/>
    </row>
    <row r="6" spans="1:7" ht="15">
      <c r="A6" s="4"/>
      <c r="B6" s="13"/>
      <c r="C6" s="91"/>
      <c r="D6" s="145" t="s">
        <v>6</v>
      </c>
      <c r="E6" s="145"/>
      <c r="F6" s="145"/>
      <c r="G6" s="145"/>
    </row>
    <row r="7" spans="1:5" ht="15">
      <c r="A7" s="135" t="s">
        <v>150</v>
      </c>
      <c r="B7" s="256"/>
      <c r="C7" s="137" t="s">
        <v>2</v>
      </c>
      <c r="D7" s="92" t="s">
        <v>7</v>
      </c>
      <c r="E7" s="94"/>
    </row>
    <row r="8" spans="1:5" ht="15">
      <c r="A8" s="135" t="s">
        <v>151</v>
      </c>
      <c r="B8" s="148"/>
      <c r="C8" s="137" t="s">
        <v>2</v>
      </c>
      <c r="D8" s="92" t="s">
        <v>8</v>
      </c>
      <c r="E8" s="93"/>
    </row>
    <row r="9" spans="1:5" ht="15">
      <c r="A9" s="4" t="s">
        <v>152</v>
      </c>
      <c r="B9" s="136"/>
      <c r="C9" s="137" t="s">
        <v>2</v>
      </c>
      <c r="D9" s="92" t="s">
        <v>7</v>
      </c>
      <c r="E9" s="94"/>
    </row>
    <row r="10" spans="1:5" ht="15">
      <c r="A10" s="4" t="s">
        <v>153</v>
      </c>
      <c r="B10" s="148"/>
      <c r="C10" s="137" t="s">
        <v>2</v>
      </c>
      <c r="D10" s="92" t="s">
        <v>8</v>
      </c>
      <c r="E10" s="93"/>
    </row>
    <row r="11" spans="1:5" ht="15">
      <c r="A11" s="177" t="s">
        <v>147</v>
      </c>
      <c r="B11" s="212"/>
      <c r="C11" s="137" t="s">
        <v>2</v>
      </c>
      <c r="D11" s="92" t="s">
        <v>170</v>
      </c>
      <c r="E11" s="93"/>
    </row>
    <row r="12" spans="1:5" ht="15">
      <c r="A12" s="178" t="s">
        <v>9</v>
      </c>
      <c r="B12" s="148"/>
      <c r="C12" s="137"/>
      <c r="D12" s="92"/>
      <c r="E12" s="93"/>
    </row>
    <row r="13" spans="1:9" ht="12.75">
      <c r="A13" s="151"/>
      <c r="B13" s="152"/>
      <c r="C13" s="153"/>
      <c r="D13" s="154"/>
      <c r="E13" s="154"/>
      <c r="F13" s="154"/>
      <c r="G13" s="143"/>
      <c r="H13" s="141"/>
      <c r="I13" s="141"/>
    </row>
    <row r="14" spans="1:9" ht="15.75">
      <c r="A14" s="197" t="s">
        <v>13</v>
      </c>
      <c r="B14" s="190"/>
      <c r="C14" s="153"/>
      <c r="D14" s="154"/>
      <c r="E14" s="154"/>
      <c r="F14" s="154"/>
      <c r="G14" s="143"/>
      <c r="H14" s="141"/>
      <c r="I14" s="141"/>
    </row>
    <row r="15" spans="1:9" ht="15">
      <c r="A15" s="198" t="s">
        <v>14</v>
      </c>
      <c r="B15" s="205"/>
      <c r="C15" s="137" t="s">
        <v>2</v>
      </c>
      <c r="D15" s="92" t="s">
        <v>8</v>
      </c>
      <c r="E15" s="154"/>
      <c r="F15" s="154"/>
      <c r="G15" s="143"/>
      <c r="H15" s="141"/>
      <c r="I15" s="141"/>
    </row>
    <row r="16" spans="1:9" ht="15">
      <c r="A16" s="198" t="s">
        <v>15</v>
      </c>
      <c r="B16" s="206"/>
      <c r="C16" s="137" t="s">
        <v>2</v>
      </c>
      <c r="D16" s="92" t="s">
        <v>8</v>
      </c>
      <c r="E16" s="154"/>
      <c r="F16" s="154"/>
      <c r="G16" s="143"/>
      <c r="H16" s="141"/>
      <c r="I16" s="141"/>
    </row>
    <row r="17" spans="1:9" ht="15">
      <c r="A17" s="198" t="s">
        <v>16</v>
      </c>
      <c r="B17" s="206"/>
      <c r="C17" s="137" t="s">
        <v>2</v>
      </c>
      <c r="D17" s="92" t="s">
        <v>8</v>
      </c>
      <c r="E17" s="154"/>
      <c r="F17" s="154"/>
      <c r="G17" s="143"/>
      <c r="H17" s="141"/>
      <c r="I17" s="141"/>
    </row>
    <row r="18" spans="1:9" ht="15">
      <c r="A18" s="198" t="s">
        <v>17</v>
      </c>
      <c r="B18" s="206"/>
      <c r="C18" s="137" t="s">
        <v>2</v>
      </c>
      <c r="D18" s="92" t="s">
        <v>8</v>
      </c>
      <c r="E18" s="154"/>
      <c r="F18" s="154"/>
      <c r="G18" s="143"/>
      <c r="H18" s="141"/>
      <c r="I18" s="141"/>
    </row>
    <row r="19" spans="1:9" ht="15" hidden="1">
      <c r="A19" s="198" t="s">
        <v>161</v>
      </c>
      <c r="B19" s="206">
        <v>0.063</v>
      </c>
      <c r="C19" s="137" t="s">
        <v>2</v>
      </c>
      <c r="D19" s="92" t="s">
        <v>8</v>
      </c>
      <c r="E19" s="194"/>
      <c r="F19" s="194"/>
      <c r="G19" s="143"/>
      <c r="H19" s="141"/>
      <c r="I19" s="245"/>
    </row>
    <row r="20" spans="1:9" ht="15" hidden="1">
      <c r="A20" s="198" t="s">
        <v>64</v>
      </c>
      <c r="B20" s="206">
        <v>0.0309</v>
      </c>
      <c r="C20" s="137" t="s">
        <v>2</v>
      </c>
      <c r="D20" s="92" t="s">
        <v>8</v>
      </c>
      <c r="E20" s="194"/>
      <c r="F20" s="194"/>
      <c r="G20" s="143"/>
      <c r="H20" s="141"/>
      <c r="I20" s="245"/>
    </row>
    <row r="21" spans="1:9" ht="15">
      <c r="A21" s="198" t="s">
        <v>18</v>
      </c>
      <c r="B21" s="206"/>
      <c r="C21" s="137" t="s">
        <v>2</v>
      </c>
      <c r="D21" s="92" t="s">
        <v>8</v>
      </c>
      <c r="E21" s="194"/>
      <c r="F21" s="194"/>
      <c r="G21" s="143"/>
      <c r="H21" s="141"/>
      <c r="I21" s="141"/>
    </row>
    <row r="22" spans="1:9" ht="15">
      <c r="A22" s="191" t="s">
        <v>165</v>
      </c>
      <c r="B22" s="207"/>
      <c r="C22" s="137" t="s">
        <v>2</v>
      </c>
      <c r="D22" s="92" t="s">
        <v>8</v>
      </c>
      <c r="F22" s="194"/>
      <c r="G22" s="143"/>
      <c r="H22" s="203">
        <f>IF(ROUND(B22,2)&gt;B22,ROUND(B22,2),ROUND(B22+0.01,2))</f>
        <v>0.01</v>
      </c>
      <c r="I22" s="141"/>
    </row>
    <row r="23" spans="1:9" ht="15" hidden="1">
      <c r="A23" s="198" t="s">
        <v>19</v>
      </c>
      <c r="B23" s="206">
        <v>0.0331</v>
      </c>
      <c r="C23" s="193"/>
      <c r="D23" s="194"/>
      <c r="E23" s="194"/>
      <c r="F23" s="194"/>
      <c r="G23" s="143"/>
      <c r="H23" s="141"/>
      <c r="I23" s="245"/>
    </row>
    <row r="24" spans="1:9" ht="15" hidden="1">
      <c r="A24" s="198" t="s">
        <v>20</v>
      </c>
      <c r="B24" s="207">
        <v>0.0738</v>
      </c>
      <c r="C24" s="193"/>
      <c r="D24" s="92" t="s">
        <v>173</v>
      </c>
      <c r="E24" s="194"/>
      <c r="F24" s="194"/>
      <c r="G24" s="143"/>
      <c r="H24" s="141"/>
      <c r="I24" s="245"/>
    </row>
    <row r="25" spans="1:9" ht="15">
      <c r="A25" s="199"/>
      <c r="B25" s="200"/>
      <c r="C25" s="201"/>
      <c r="D25" s="202"/>
      <c r="E25" s="202"/>
      <c r="F25" s="194"/>
      <c r="G25" s="143"/>
      <c r="H25" s="141"/>
      <c r="I25" s="141"/>
    </row>
    <row r="26" spans="1:10" ht="15">
      <c r="A26" s="198" t="s">
        <v>27</v>
      </c>
      <c r="B26" s="230"/>
      <c r="C26" s="137" t="s">
        <v>2</v>
      </c>
      <c r="D26" s="92" t="s">
        <v>8</v>
      </c>
      <c r="E26" s="227"/>
      <c r="F26" s="227"/>
      <c r="G26" s="227"/>
      <c r="H26" s="227"/>
      <c r="I26" s="228"/>
      <c r="J26" s="228"/>
    </row>
    <row r="27" spans="1:10" ht="15">
      <c r="A27" s="198" t="s">
        <v>28</v>
      </c>
      <c r="B27" s="241"/>
      <c r="C27" s="137" t="s">
        <v>2</v>
      </c>
      <c r="D27" s="92" t="s">
        <v>8</v>
      </c>
      <c r="E27" s="222"/>
      <c r="F27" s="222"/>
      <c r="G27" s="222"/>
      <c r="H27" s="222"/>
      <c r="I27" s="228"/>
      <c r="J27" s="228"/>
    </row>
    <row r="28" spans="1:10" ht="15">
      <c r="A28" s="198" t="s">
        <v>169</v>
      </c>
      <c r="B28" s="231"/>
      <c r="C28" s="137" t="s">
        <v>2</v>
      </c>
      <c r="D28" s="92" t="s">
        <v>8</v>
      </c>
      <c r="E28" s="222"/>
      <c r="F28" s="222"/>
      <c r="G28" s="222"/>
      <c r="H28" s="222"/>
      <c r="I28" s="228"/>
      <c r="J28" s="228"/>
    </row>
    <row r="29" spans="1:12" s="246" customFormat="1" ht="15">
      <c r="A29" s="288"/>
      <c r="B29" s="289"/>
      <c r="C29" s="290"/>
      <c r="D29" s="222"/>
      <c r="E29" s="222"/>
      <c r="F29" s="222"/>
      <c r="G29" s="222"/>
      <c r="H29" s="222"/>
      <c r="I29" s="222"/>
      <c r="J29" s="222"/>
      <c r="K29" s="222"/>
      <c r="L29" s="222"/>
    </row>
    <row r="30" spans="1:12" s="246" customFormat="1" ht="12" customHeight="1">
      <c r="A30" s="221"/>
      <c r="B30" s="223" t="s">
        <v>154</v>
      </c>
      <c r="C30" s="223"/>
      <c r="D30" s="291"/>
      <c r="E30" s="292"/>
      <c r="F30" s="293"/>
      <c r="G30" s="224"/>
      <c r="H30" s="222"/>
      <c r="I30" s="222"/>
      <c r="J30" s="222"/>
      <c r="K30" s="222"/>
      <c r="L30" s="222"/>
    </row>
    <row r="31" spans="1:15" s="246" customFormat="1" ht="15.75">
      <c r="A31" s="223" t="s">
        <v>11</v>
      </c>
      <c r="B31" s="225">
        <v>0.2975</v>
      </c>
      <c r="C31" s="221"/>
      <c r="D31" s="225"/>
      <c r="E31" s="224"/>
      <c r="F31" s="224"/>
      <c r="G31" s="224"/>
      <c r="H31" s="222"/>
      <c r="I31" s="247"/>
      <c r="J31" s="248"/>
      <c r="K31" s="249"/>
      <c r="L31" s="222"/>
      <c r="M31" s="222"/>
      <c r="N31" s="222"/>
      <c r="O31" s="222"/>
    </row>
    <row r="32" spans="1:15" s="246" customFormat="1" ht="15">
      <c r="A32" s="221"/>
      <c r="B32" s="221"/>
      <c r="C32" s="221"/>
      <c r="D32" s="221"/>
      <c r="E32" s="224"/>
      <c r="F32" s="224"/>
      <c r="G32" s="224"/>
      <c r="H32" s="222"/>
      <c r="I32" s="222"/>
      <c r="J32" s="222"/>
      <c r="K32" s="250"/>
      <c r="L32" s="222"/>
      <c r="M32" s="222"/>
      <c r="N32" s="222"/>
      <c r="O32" s="222"/>
    </row>
    <row r="33" spans="1:15" s="246" customFormat="1" ht="15">
      <c r="A33" s="221"/>
      <c r="B33" s="221"/>
      <c r="C33" s="221"/>
      <c r="D33" s="221"/>
      <c r="E33" s="251"/>
      <c r="F33" s="224"/>
      <c r="G33" s="224"/>
      <c r="H33" s="222"/>
      <c r="I33" s="222"/>
      <c r="J33" s="222"/>
      <c r="K33" s="250"/>
      <c r="L33" s="222"/>
      <c r="M33" s="222"/>
      <c r="N33" s="222"/>
      <c r="O33" s="222"/>
    </row>
    <row r="34" spans="1:15" s="246" customFormat="1" ht="15.75">
      <c r="A34" s="223" t="s">
        <v>21</v>
      </c>
      <c r="B34" s="226">
        <v>0.0102</v>
      </c>
      <c r="C34" s="226"/>
      <c r="D34" s="226"/>
      <c r="E34" s="251"/>
      <c r="F34" s="224"/>
      <c r="G34" s="224"/>
      <c r="H34" s="222"/>
      <c r="I34" s="247"/>
      <c r="J34" s="222"/>
      <c r="K34" s="252"/>
      <c r="L34" s="222"/>
      <c r="M34" s="222"/>
      <c r="N34" s="222"/>
      <c r="O34" s="222"/>
    </row>
    <row r="35" spans="1:15" s="246" customFormat="1" ht="15.75">
      <c r="A35" s="223"/>
      <c r="B35" s="226"/>
      <c r="C35" s="226"/>
      <c r="D35" s="226"/>
      <c r="E35" s="251"/>
      <c r="F35" s="224"/>
      <c r="G35" s="224"/>
      <c r="H35" s="222"/>
      <c r="I35" s="247"/>
      <c r="J35" s="222"/>
      <c r="K35" s="252"/>
      <c r="L35" s="222"/>
      <c r="M35" s="222"/>
      <c r="N35" s="222"/>
      <c r="O35" s="222"/>
    </row>
    <row r="36" spans="1:15" s="246" customFormat="1" ht="15.75">
      <c r="A36" s="223" t="s">
        <v>160</v>
      </c>
      <c r="B36" s="226">
        <v>0</v>
      </c>
      <c r="C36" s="226"/>
      <c r="D36" s="226"/>
      <c r="E36" s="251"/>
      <c r="F36" s="224"/>
      <c r="G36" s="224"/>
      <c r="H36" s="222"/>
      <c r="I36" s="247"/>
      <c r="J36" s="222"/>
      <c r="K36" s="252"/>
      <c r="L36" s="222"/>
      <c r="M36" s="222"/>
      <c r="N36" s="222"/>
      <c r="O36" s="222"/>
    </row>
    <row r="37" spans="1:15" s="246" customFormat="1" ht="15">
      <c r="A37" s="221"/>
      <c r="B37" s="221"/>
      <c r="C37" s="221"/>
      <c r="D37" s="221"/>
      <c r="E37" s="224"/>
      <c r="F37" s="224"/>
      <c r="G37" s="224"/>
      <c r="H37" s="222"/>
      <c r="I37" s="222"/>
      <c r="J37" s="222"/>
      <c r="K37" s="250"/>
      <c r="L37" s="222"/>
      <c r="M37" s="222"/>
      <c r="N37" s="222"/>
      <c r="O37" s="222"/>
    </row>
    <row r="38" spans="1:15" s="246" customFormat="1" ht="15.75">
      <c r="A38" s="223" t="s">
        <v>22</v>
      </c>
      <c r="B38" s="221"/>
      <c r="C38" s="221"/>
      <c r="D38" s="221"/>
      <c r="E38" s="224"/>
      <c r="F38" s="224"/>
      <c r="G38" s="224"/>
      <c r="H38" s="222"/>
      <c r="I38" s="222"/>
      <c r="J38" s="222"/>
      <c r="K38" s="250"/>
      <c r="L38" s="222"/>
      <c r="M38" s="222"/>
      <c r="N38" s="222"/>
      <c r="O38" s="222"/>
    </row>
    <row r="39" spans="1:15" s="246" customFormat="1" ht="15">
      <c r="A39" s="221" t="s">
        <v>23</v>
      </c>
      <c r="B39" s="221">
        <v>0</v>
      </c>
      <c r="C39" s="221"/>
      <c r="D39" s="221"/>
      <c r="E39" s="221"/>
      <c r="F39" s="224"/>
      <c r="G39" s="224"/>
      <c r="H39" s="222"/>
      <c r="I39" s="222"/>
      <c r="J39" s="222"/>
      <c r="K39" s="250"/>
      <c r="L39" s="222"/>
      <c r="M39" s="222"/>
      <c r="N39" s="222"/>
      <c r="O39" s="222"/>
    </row>
    <row r="40" spans="1:15" s="246" customFormat="1" ht="15">
      <c r="A40" s="221" t="s">
        <v>24</v>
      </c>
      <c r="B40" s="232">
        <v>0.0001</v>
      </c>
      <c r="C40" s="232"/>
      <c r="D40" s="232"/>
      <c r="E40" s="232"/>
      <c r="F40" s="224"/>
      <c r="G40" s="224"/>
      <c r="H40" s="222"/>
      <c r="I40" s="222"/>
      <c r="J40" s="222"/>
      <c r="K40" s="249"/>
      <c r="L40" s="222"/>
      <c r="M40" s="222"/>
      <c r="N40" s="222"/>
      <c r="O40" s="222"/>
    </row>
    <row r="41" spans="1:15" s="246" customFormat="1" ht="15">
      <c r="A41" s="221" t="s">
        <v>25</v>
      </c>
      <c r="B41" s="232">
        <v>0.0001</v>
      </c>
      <c r="C41" s="232"/>
      <c r="D41" s="232"/>
      <c r="E41" s="232"/>
      <c r="F41" s="224"/>
      <c r="G41" s="224"/>
      <c r="H41" s="222"/>
      <c r="I41" s="222"/>
      <c r="J41" s="222"/>
      <c r="K41" s="249"/>
      <c r="L41" s="222"/>
      <c r="M41" s="222"/>
      <c r="N41" s="222"/>
      <c r="O41" s="222"/>
    </row>
    <row r="42" spans="1:15" s="246" customFormat="1" ht="15">
      <c r="A42" s="221" t="s">
        <v>26</v>
      </c>
      <c r="B42" s="232">
        <v>0.0033</v>
      </c>
      <c r="C42" s="232"/>
      <c r="D42" s="232"/>
      <c r="E42" s="232"/>
      <c r="F42" s="224"/>
      <c r="G42" s="224"/>
      <c r="H42" s="222"/>
      <c r="I42" s="222"/>
      <c r="J42" s="222"/>
      <c r="K42" s="249"/>
      <c r="L42" s="222"/>
      <c r="M42" s="222"/>
      <c r="N42" s="222"/>
      <c r="O42" s="222"/>
    </row>
    <row r="43" spans="1:15" s="246" customFormat="1" ht="15">
      <c r="A43" s="221" t="s">
        <v>167</v>
      </c>
      <c r="B43" s="232">
        <f>B28</f>
        <v>0</v>
      </c>
      <c r="C43" s="232"/>
      <c r="D43" s="232"/>
      <c r="E43" s="232"/>
      <c r="F43" s="224"/>
      <c r="G43" s="224"/>
      <c r="H43" s="222"/>
      <c r="I43" s="222"/>
      <c r="J43" s="222"/>
      <c r="K43" s="249"/>
      <c r="L43" s="222"/>
      <c r="M43" s="222"/>
      <c r="N43" s="222"/>
      <c r="O43" s="222"/>
    </row>
    <row r="44" spans="1:15" s="246" customFormat="1" ht="15">
      <c r="A44" s="221" t="s">
        <v>29</v>
      </c>
      <c r="B44" s="232">
        <v>0.0488</v>
      </c>
      <c r="C44" s="232"/>
      <c r="D44" s="232"/>
      <c r="E44" s="232"/>
      <c r="F44" s="224"/>
      <c r="G44" s="224"/>
      <c r="H44" s="222"/>
      <c r="I44" s="222"/>
      <c r="J44" s="222"/>
      <c r="K44" s="249"/>
      <c r="L44" s="222"/>
      <c r="M44" s="222"/>
      <c r="N44" s="222"/>
      <c r="O44" s="222"/>
    </row>
    <row r="45" spans="1:15" s="246" customFormat="1" ht="15">
      <c r="A45" s="221" t="s">
        <v>156</v>
      </c>
      <c r="B45" s="232">
        <v>0.3309</v>
      </c>
      <c r="C45" s="232"/>
      <c r="D45" s="232"/>
      <c r="E45" s="224"/>
      <c r="F45" s="224"/>
      <c r="G45" s="224"/>
      <c r="H45" s="222"/>
      <c r="I45" s="222"/>
      <c r="J45" s="222"/>
      <c r="K45" s="249"/>
      <c r="L45" s="222"/>
      <c r="M45" s="222"/>
      <c r="N45" s="222"/>
      <c r="O45" s="222"/>
    </row>
    <row r="46" spans="1:15" s="246" customFormat="1" ht="15">
      <c r="A46" s="221"/>
      <c r="B46" s="232"/>
      <c r="C46" s="232"/>
      <c r="D46" s="232"/>
      <c r="E46" s="224"/>
      <c r="F46" s="224"/>
      <c r="G46" s="224"/>
      <c r="H46" s="222"/>
      <c r="I46" s="222"/>
      <c r="J46" s="222"/>
      <c r="K46" s="249"/>
      <c r="L46" s="222"/>
      <c r="M46" s="222"/>
      <c r="N46" s="222"/>
      <c r="O46" s="222"/>
    </row>
    <row r="47" spans="1:15" s="246" customFormat="1" ht="15.75">
      <c r="A47" s="223" t="s">
        <v>30</v>
      </c>
      <c r="B47" s="232"/>
      <c r="C47" s="232"/>
      <c r="D47" s="232"/>
      <c r="E47" s="224"/>
      <c r="F47" s="224"/>
      <c r="G47" s="224"/>
      <c r="H47" s="222"/>
      <c r="I47" s="222"/>
      <c r="J47" s="222"/>
      <c r="K47" s="249"/>
      <c r="L47" s="222"/>
      <c r="M47" s="222"/>
      <c r="N47" s="222"/>
      <c r="O47" s="222"/>
    </row>
    <row r="48" spans="1:15" s="246" customFormat="1" ht="15">
      <c r="A48" s="221" t="s">
        <v>31</v>
      </c>
      <c r="B48" s="232">
        <v>0.2004</v>
      </c>
      <c r="C48" s="232"/>
      <c r="D48" s="232">
        <v>0.5137</v>
      </c>
      <c r="E48" s="224"/>
      <c r="F48" s="224"/>
      <c r="G48" s="224"/>
      <c r="H48" s="222"/>
      <c r="I48" s="222"/>
      <c r="J48" s="222"/>
      <c r="K48" s="249"/>
      <c r="L48" s="222"/>
      <c r="M48" s="222"/>
      <c r="N48" s="222"/>
      <c r="O48" s="222"/>
    </row>
    <row r="49" spans="1:15" s="246" customFormat="1" ht="15">
      <c r="A49" s="221" t="s">
        <v>32</v>
      </c>
      <c r="B49" s="232">
        <v>0.2004</v>
      </c>
      <c r="C49" s="232"/>
      <c r="D49" s="232">
        <v>0.5137</v>
      </c>
      <c r="E49" s="224"/>
      <c r="F49" s="224"/>
      <c r="G49" s="224"/>
      <c r="H49" s="222"/>
      <c r="I49" s="222"/>
      <c r="J49" s="222"/>
      <c r="K49" s="249"/>
      <c r="L49" s="222"/>
      <c r="M49" s="222"/>
      <c r="N49" s="222"/>
      <c r="O49" s="222"/>
    </row>
    <row r="50" spans="1:15" s="246" customFormat="1" ht="15">
      <c r="A50" s="221" t="s">
        <v>33</v>
      </c>
      <c r="B50" s="232">
        <v>0.0274</v>
      </c>
      <c r="C50" s="232"/>
      <c r="D50" s="232">
        <v>0.0251</v>
      </c>
      <c r="E50" s="224"/>
      <c r="F50" s="224"/>
      <c r="G50" s="224"/>
      <c r="H50" s="222"/>
      <c r="I50" s="222"/>
      <c r="J50" s="222"/>
      <c r="K50" s="249"/>
      <c r="L50" s="222"/>
      <c r="M50" s="222"/>
      <c r="N50" s="222"/>
      <c r="O50" s="222"/>
    </row>
    <row r="51" spans="1:15" s="246" customFormat="1" ht="15">
      <c r="A51" s="221" t="s">
        <v>34</v>
      </c>
      <c r="B51" s="232">
        <v>0.2019</v>
      </c>
      <c r="C51" s="232"/>
      <c r="D51" s="232">
        <v>0.5963</v>
      </c>
      <c r="E51" s="224"/>
      <c r="F51" s="224"/>
      <c r="G51" s="224"/>
      <c r="H51" s="222"/>
      <c r="I51" s="222"/>
      <c r="J51" s="222"/>
      <c r="K51" s="249"/>
      <c r="L51" s="222"/>
      <c r="M51" s="222"/>
      <c r="N51" s="222"/>
      <c r="O51" s="222"/>
    </row>
    <row r="52" spans="1:15" s="246" customFormat="1" ht="15">
      <c r="A52" s="221" t="s">
        <v>35</v>
      </c>
      <c r="B52" s="232">
        <v>0.693</v>
      </c>
      <c r="C52" s="232"/>
      <c r="D52" s="232">
        <v>0.9052</v>
      </c>
      <c r="E52" s="224"/>
      <c r="F52" s="224"/>
      <c r="G52" s="224"/>
      <c r="H52" s="222"/>
      <c r="I52" s="222"/>
      <c r="J52" s="222"/>
      <c r="K52" s="249"/>
      <c r="L52" s="222"/>
      <c r="M52" s="222"/>
      <c r="N52" s="222"/>
      <c r="O52" s="222"/>
    </row>
    <row r="53" spans="1:15" s="246" customFormat="1" ht="15">
      <c r="A53" s="221"/>
      <c r="B53" s="221"/>
      <c r="C53" s="221"/>
      <c r="D53" s="221"/>
      <c r="E53" s="224"/>
      <c r="F53" s="224"/>
      <c r="G53" s="224"/>
      <c r="H53" s="222"/>
      <c r="I53" s="222"/>
      <c r="J53" s="222"/>
      <c r="K53" s="250"/>
      <c r="L53" s="222"/>
      <c r="M53" s="222"/>
      <c r="N53" s="222"/>
      <c r="O53" s="222"/>
    </row>
    <row r="54" spans="1:15" s="246" customFormat="1" ht="15.75">
      <c r="A54" s="223" t="s">
        <v>36</v>
      </c>
      <c r="B54" s="233">
        <v>0.035</v>
      </c>
      <c r="C54" s="233"/>
      <c r="D54" s="233">
        <v>0.025</v>
      </c>
      <c r="E54" s="233"/>
      <c r="F54" s="224"/>
      <c r="G54" s="224"/>
      <c r="H54" s="222"/>
      <c r="I54" s="253"/>
      <c r="J54" s="222"/>
      <c r="K54" s="254"/>
      <c r="L54" s="222"/>
      <c r="M54" s="222"/>
      <c r="N54" s="222"/>
      <c r="O54" s="222"/>
    </row>
    <row r="55" spans="1:15" s="246" customFormat="1" ht="15">
      <c r="A55" s="221"/>
      <c r="B55" s="221"/>
      <c r="C55" s="221"/>
      <c r="D55" s="221"/>
      <c r="E55" s="221"/>
      <c r="F55" s="224"/>
      <c r="G55" s="224"/>
      <c r="H55" s="222"/>
      <c r="I55" s="222"/>
      <c r="J55" s="222"/>
      <c r="K55" s="250"/>
      <c r="L55" s="222"/>
      <c r="M55" s="222"/>
      <c r="N55" s="222"/>
      <c r="O55" s="222"/>
    </row>
    <row r="56" spans="1:15" s="246" customFormat="1" ht="15.75">
      <c r="A56" s="223" t="s">
        <v>37</v>
      </c>
      <c r="B56" s="233">
        <v>0.025</v>
      </c>
      <c r="C56" s="221"/>
      <c r="D56" s="233">
        <v>0.025</v>
      </c>
      <c r="E56" s="233"/>
      <c r="F56" s="224"/>
      <c r="G56" s="224"/>
      <c r="H56" s="222"/>
      <c r="I56" s="222"/>
      <c r="J56" s="222"/>
      <c r="K56" s="254"/>
      <c r="L56" s="222"/>
      <c r="M56" s="222"/>
      <c r="N56" s="222"/>
      <c r="O56" s="222"/>
    </row>
    <row r="57" spans="1:15" s="246" customFormat="1" ht="15">
      <c r="A57" s="221"/>
      <c r="B57" s="234"/>
      <c r="C57" s="221"/>
      <c r="D57" s="233"/>
      <c r="E57" s="224"/>
      <c r="F57" s="224"/>
      <c r="G57" s="224"/>
      <c r="H57" s="222"/>
      <c r="I57" s="222"/>
      <c r="J57" s="222"/>
      <c r="K57" s="250"/>
      <c r="L57" s="222"/>
      <c r="M57" s="222"/>
      <c r="N57" s="222"/>
      <c r="O57" s="222"/>
    </row>
    <row r="58" spans="1:15" s="246" customFormat="1" ht="15.75">
      <c r="A58" s="223" t="s">
        <v>38</v>
      </c>
      <c r="B58" s="235">
        <f>ROUND(B62/168.3*Consumer_Price_Index,4)</f>
        <v>0</v>
      </c>
      <c r="C58" s="221"/>
      <c r="D58" s="226">
        <v>0.1066</v>
      </c>
      <c r="E58" s="224"/>
      <c r="F58" s="224"/>
      <c r="G58" s="224"/>
      <c r="H58" s="222"/>
      <c r="I58" s="247"/>
      <c r="J58" s="255"/>
      <c r="K58" s="252"/>
      <c r="L58" s="222"/>
      <c r="M58" s="222"/>
      <c r="N58" s="222"/>
      <c r="O58" s="222"/>
    </row>
    <row r="59" spans="1:15" s="246" customFormat="1" ht="15">
      <c r="A59" s="221"/>
      <c r="B59" s="221"/>
      <c r="C59" s="221"/>
      <c r="D59" s="221"/>
      <c r="E59" s="224"/>
      <c r="F59" s="224"/>
      <c r="G59" s="224"/>
      <c r="H59" s="222"/>
      <c r="I59" s="222"/>
      <c r="J59" s="222"/>
      <c r="K59" s="222"/>
      <c r="L59" s="222"/>
      <c r="M59" s="222"/>
      <c r="N59" s="222"/>
      <c r="O59" s="222"/>
    </row>
    <row r="60" spans="1:15" s="246" customFormat="1" ht="15">
      <c r="A60" s="221"/>
      <c r="B60" s="221"/>
      <c r="C60" s="221"/>
      <c r="D60" s="221"/>
      <c r="E60" s="224"/>
      <c r="F60" s="224"/>
      <c r="G60" s="224"/>
      <c r="H60" s="222"/>
      <c r="I60" s="222"/>
      <c r="J60" s="222"/>
      <c r="K60" s="222"/>
      <c r="L60" s="222"/>
      <c r="M60" s="222"/>
      <c r="N60" s="222"/>
      <c r="O60" s="222"/>
    </row>
    <row r="61" spans="1:15" s="246" customFormat="1" ht="15">
      <c r="A61" s="221"/>
      <c r="B61" s="236" t="s">
        <v>148</v>
      </c>
      <c r="C61" s="221"/>
      <c r="D61" s="221"/>
      <c r="E61" s="224"/>
      <c r="F61" s="224"/>
      <c r="G61" s="224"/>
      <c r="H61" s="222"/>
      <c r="I61" s="222"/>
      <c r="J61" s="222"/>
      <c r="K61" s="222"/>
      <c r="L61" s="222"/>
      <c r="M61" s="222"/>
      <c r="N61" s="222"/>
      <c r="O61" s="222"/>
    </row>
    <row r="62" spans="1:15" s="246" customFormat="1" ht="15.75">
      <c r="A62" s="223" t="s">
        <v>38</v>
      </c>
      <c r="B62" s="226">
        <v>0.1202</v>
      </c>
      <c r="C62" s="221"/>
      <c r="D62" s="226">
        <v>0.1066</v>
      </c>
      <c r="E62" s="224"/>
      <c r="F62" s="224"/>
      <c r="G62" s="224"/>
      <c r="H62" s="222"/>
      <c r="I62" s="222"/>
      <c r="J62" s="222"/>
      <c r="K62" s="222"/>
      <c r="L62" s="222"/>
      <c r="M62" s="222"/>
      <c r="N62" s="222"/>
      <c r="O62" s="222"/>
    </row>
    <row r="63" spans="1:15" s="246" customFormat="1" ht="15">
      <c r="A63" s="221"/>
      <c r="B63" s="221"/>
      <c r="C63" s="221"/>
      <c r="D63" s="221"/>
      <c r="E63" s="224"/>
      <c r="F63" s="224"/>
      <c r="G63" s="224"/>
      <c r="H63" s="222"/>
      <c r="I63" s="222"/>
      <c r="J63" s="222"/>
      <c r="K63" s="222"/>
      <c r="L63" s="222"/>
      <c r="M63" s="222"/>
      <c r="N63" s="222"/>
      <c r="O63" s="222"/>
    </row>
    <row r="64" spans="1:15" s="246" customFormat="1" ht="15.75">
      <c r="A64" s="223" t="s">
        <v>164</v>
      </c>
      <c r="B64" s="221"/>
      <c r="C64" s="221"/>
      <c r="D64" s="221"/>
      <c r="E64" s="224"/>
      <c r="F64" s="224"/>
      <c r="G64" s="224"/>
      <c r="H64" s="222"/>
      <c r="I64" s="222"/>
      <c r="J64" s="222"/>
      <c r="K64" s="222"/>
      <c r="L64" s="222"/>
      <c r="M64" s="222"/>
      <c r="N64" s="222"/>
      <c r="O64" s="222"/>
    </row>
    <row r="65" spans="1:15" s="246" customFormat="1" ht="15">
      <c r="A65" s="221"/>
      <c r="B65" s="221"/>
      <c r="C65" s="221"/>
      <c r="D65" s="221"/>
      <c r="E65" s="224"/>
      <c r="F65" s="224"/>
      <c r="G65" s="224"/>
      <c r="H65" s="222"/>
      <c r="I65" s="222"/>
      <c r="J65" s="222"/>
      <c r="K65" s="222"/>
      <c r="L65" s="222"/>
      <c r="M65" s="222"/>
      <c r="N65" s="222"/>
      <c r="O65" s="222"/>
    </row>
    <row r="66" spans="1:15" s="246" customFormat="1" ht="15">
      <c r="A66" s="237" t="s">
        <v>23</v>
      </c>
      <c r="B66" s="221">
        <v>0.001</v>
      </c>
      <c r="C66" s="221"/>
      <c r="D66" s="221"/>
      <c r="E66" s="238"/>
      <c r="F66" s="224"/>
      <c r="G66" s="224"/>
      <c r="H66" s="222"/>
      <c r="I66" s="222"/>
      <c r="J66" s="222"/>
      <c r="K66" s="222"/>
      <c r="L66" s="222"/>
      <c r="M66" s="222"/>
      <c r="N66" s="222"/>
      <c r="O66" s="222"/>
    </row>
    <row r="67" spans="1:15" s="246" customFormat="1" ht="15">
      <c r="A67" s="237" t="s">
        <v>48</v>
      </c>
      <c r="B67" s="221">
        <f>$B$66</f>
        <v>0.001</v>
      </c>
      <c r="C67" s="221"/>
      <c r="D67" s="221">
        <f aca="true" t="shared" si="0" ref="D67:D74">$D$66</f>
        <v>0</v>
      </c>
      <c r="E67" s="238"/>
      <c r="F67" s="224"/>
      <c r="G67" s="224"/>
      <c r="H67" s="222"/>
      <c r="I67" s="222"/>
      <c r="J67" s="222"/>
      <c r="K67" s="222"/>
      <c r="L67" s="222"/>
      <c r="M67" s="222"/>
      <c r="N67" s="222"/>
      <c r="O67" s="222"/>
    </row>
    <row r="68" spans="1:15" s="246" customFormat="1" ht="15">
      <c r="A68" s="237" t="s">
        <v>49</v>
      </c>
      <c r="B68" s="221">
        <f aca="true" t="shared" si="1" ref="B68:B74">$B$66</f>
        <v>0.001</v>
      </c>
      <c r="C68" s="221"/>
      <c r="D68" s="221">
        <f t="shared" si="0"/>
        <v>0</v>
      </c>
      <c r="E68" s="238"/>
      <c r="F68" s="224"/>
      <c r="G68" s="224"/>
      <c r="H68" s="222"/>
      <c r="I68" s="222"/>
      <c r="J68" s="222"/>
      <c r="K68" s="222"/>
      <c r="L68" s="222"/>
      <c r="M68" s="222"/>
      <c r="N68" s="222"/>
      <c r="O68" s="222"/>
    </row>
    <row r="69" spans="1:15" s="246" customFormat="1" ht="15">
      <c r="A69" s="237" t="s">
        <v>50</v>
      </c>
      <c r="B69" s="221">
        <f t="shared" si="1"/>
        <v>0.001</v>
      </c>
      <c r="C69" s="224"/>
      <c r="D69" s="221">
        <f t="shared" si="0"/>
        <v>0</v>
      </c>
      <c r="E69" s="238"/>
      <c r="F69" s="224"/>
      <c r="G69" s="224"/>
      <c r="H69" s="222"/>
      <c r="I69" s="222"/>
      <c r="J69" s="222"/>
      <c r="K69" s="222"/>
      <c r="L69" s="222"/>
      <c r="M69" s="222"/>
      <c r="N69" s="222"/>
      <c r="O69" s="222"/>
    </row>
    <row r="70" spans="1:15" s="246" customFormat="1" ht="15">
      <c r="A70" s="237" t="s">
        <v>27</v>
      </c>
      <c r="B70" s="221">
        <f t="shared" si="1"/>
        <v>0.001</v>
      </c>
      <c r="C70" s="224"/>
      <c r="D70" s="221">
        <f t="shared" si="0"/>
        <v>0</v>
      </c>
      <c r="E70" s="238"/>
      <c r="F70" s="224"/>
      <c r="G70" s="224"/>
      <c r="H70" s="222"/>
      <c r="I70" s="222"/>
      <c r="J70" s="222"/>
      <c r="K70" s="222"/>
      <c r="L70" s="222"/>
      <c r="M70" s="222"/>
      <c r="N70" s="222"/>
      <c r="O70" s="222"/>
    </row>
    <row r="71" spans="1:15" s="246" customFormat="1" ht="15">
      <c r="A71" s="237" t="s">
        <v>51</v>
      </c>
      <c r="B71" s="221">
        <f t="shared" si="1"/>
        <v>0.001</v>
      </c>
      <c r="C71" s="224"/>
      <c r="D71" s="221">
        <f t="shared" si="0"/>
        <v>0</v>
      </c>
      <c r="E71" s="238"/>
      <c r="F71" s="224"/>
      <c r="G71" s="224"/>
      <c r="H71" s="222"/>
      <c r="I71" s="222"/>
      <c r="J71" s="222"/>
      <c r="K71" s="222"/>
      <c r="L71" s="222"/>
      <c r="M71" s="222"/>
      <c r="N71" s="222"/>
      <c r="O71" s="222"/>
    </row>
    <row r="72" spans="1:15" s="246" customFormat="1" ht="15">
      <c r="A72" s="237" t="s">
        <v>166</v>
      </c>
      <c r="B72" s="221">
        <f t="shared" si="1"/>
        <v>0.001</v>
      </c>
      <c r="C72" s="224"/>
      <c r="D72" s="221"/>
      <c r="E72" s="238"/>
      <c r="F72" s="224"/>
      <c r="G72" s="224"/>
      <c r="H72" s="222"/>
      <c r="I72" s="222"/>
      <c r="J72" s="222"/>
      <c r="K72" s="222"/>
      <c r="L72" s="222"/>
      <c r="M72" s="222"/>
      <c r="N72" s="222"/>
      <c r="O72" s="222"/>
    </row>
    <row r="73" spans="1:15" s="246" customFormat="1" ht="15">
      <c r="A73" s="237" t="s">
        <v>29</v>
      </c>
      <c r="B73" s="221">
        <f t="shared" si="1"/>
        <v>0.001</v>
      </c>
      <c r="C73" s="224"/>
      <c r="D73" s="221">
        <f t="shared" si="0"/>
        <v>0</v>
      </c>
      <c r="E73" s="238"/>
      <c r="F73" s="224"/>
      <c r="G73" s="224"/>
      <c r="H73" s="222"/>
      <c r="I73" s="222"/>
      <c r="J73" s="222"/>
      <c r="K73" s="222"/>
      <c r="L73" s="222"/>
      <c r="M73" s="222"/>
      <c r="N73" s="222"/>
      <c r="O73" s="222"/>
    </row>
    <row r="74" spans="1:15" s="246" customFormat="1" ht="15">
      <c r="A74" s="237" t="s">
        <v>156</v>
      </c>
      <c r="B74" s="221">
        <f t="shared" si="1"/>
        <v>0.001</v>
      </c>
      <c r="C74" s="239"/>
      <c r="D74" s="221">
        <f t="shared" si="0"/>
        <v>0</v>
      </c>
      <c r="E74" s="240"/>
      <c r="F74" s="239"/>
      <c r="G74" s="239"/>
      <c r="H74" s="222"/>
      <c r="I74" s="222"/>
      <c r="J74" s="222"/>
      <c r="K74" s="222"/>
      <c r="L74" s="222"/>
      <c r="M74" s="222"/>
      <c r="N74" s="222"/>
      <c r="O74" s="222"/>
    </row>
    <row r="75" spans="1:15" s="246" customFormat="1" ht="15">
      <c r="A75" s="237"/>
      <c r="B75" s="239"/>
      <c r="C75" s="239"/>
      <c r="D75" s="239"/>
      <c r="E75" s="239"/>
      <c r="F75" s="239"/>
      <c r="G75" s="239"/>
      <c r="H75" s="222"/>
      <c r="I75" s="222"/>
      <c r="J75" s="222"/>
      <c r="K75" s="222"/>
      <c r="L75" s="222"/>
      <c r="M75" s="222"/>
      <c r="N75" s="222"/>
      <c r="O75" s="222"/>
    </row>
    <row r="76" spans="1:15" s="246" customFormat="1" ht="15">
      <c r="A76" s="237"/>
      <c r="B76" s="239"/>
      <c r="C76" s="239"/>
      <c r="D76" s="239"/>
      <c r="E76" s="239"/>
      <c r="F76" s="239"/>
      <c r="G76" s="239"/>
      <c r="H76" s="222"/>
      <c r="I76" s="222"/>
      <c r="J76" s="222"/>
      <c r="K76" s="222"/>
      <c r="L76" s="222"/>
      <c r="M76" s="222"/>
      <c r="N76" s="222"/>
      <c r="O76" s="222"/>
    </row>
    <row r="77" spans="1:15" s="246" customFormat="1" ht="15">
      <c r="A77" s="237"/>
      <c r="B77" s="239"/>
      <c r="C77" s="239"/>
      <c r="D77" s="239"/>
      <c r="E77" s="239"/>
      <c r="F77" s="239"/>
      <c r="G77" s="239"/>
      <c r="H77" s="222"/>
      <c r="I77" s="222"/>
      <c r="J77" s="222"/>
      <c r="K77" s="222"/>
      <c r="L77" s="222"/>
      <c r="M77" s="222"/>
      <c r="N77" s="222"/>
      <c r="O77" s="222"/>
    </row>
    <row r="78" spans="1:15" s="246" customFormat="1" ht="15">
      <c r="A78" s="239" t="s">
        <v>174</v>
      </c>
      <c r="B78" s="239">
        <v>264.877</v>
      </c>
      <c r="C78" s="239"/>
      <c r="D78" s="239"/>
      <c r="E78" s="239"/>
      <c r="F78" s="239"/>
      <c r="G78" s="239"/>
      <c r="H78" s="222"/>
      <c r="I78" s="222"/>
      <c r="J78" s="222"/>
      <c r="K78" s="222"/>
      <c r="L78" s="222"/>
      <c r="M78" s="222"/>
      <c r="N78" s="222"/>
      <c r="O78" s="222"/>
    </row>
    <row r="79" spans="1:15" s="246" customFormat="1" ht="15">
      <c r="A79" s="239" t="s">
        <v>175</v>
      </c>
      <c r="B79" s="239">
        <f>Consumer_Price_Index</f>
        <v>0</v>
      </c>
      <c r="C79" s="239"/>
      <c r="D79" s="239"/>
      <c r="E79" s="239"/>
      <c r="F79" s="239"/>
      <c r="G79" s="239"/>
      <c r="H79" s="222"/>
      <c r="I79" s="222"/>
      <c r="J79" s="222"/>
      <c r="K79" s="222"/>
      <c r="L79" s="222"/>
      <c r="M79" s="222"/>
      <c r="N79" s="222"/>
      <c r="O79" s="222"/>
    </row>
    <row r="80" spans="1:15" s="246" customFormat="1" ht="12.75">
      <c r="A80" s="257" t="s">
        <v>176</v>
      </c>
      <c r="B80" s="258">
        <f>ROUND((B79-B78)/B78,6)</f>
        <v>-1</v>
      </c>
      <c r="C80" s="257"/>
      <c r="D80" s="257"/>
      <c r="E80" s="257"/>
      <c r="F80" s="257"/>
      <c r="G80" s="257"/>
      <c r="H80" s="222"/>
      <c r="I80" s="222"/>
      <c r="J80" s="222"/>
      <c r="K80" s="222"/>
      <c r="L80" s="222"/>
      <c r="M80" s="222"/>
      <c r="N80" s="222"/>
      <c r="O80" s="222"/>
    </row>
    <row r="81" spans="1:15" s="246" customFormat="1" ht="12.75">
      <c r="A81" s="257"/>
      <c r="B81" s="257"/>
      <c r="C81" s="257"/>
      <c r="D81" s="257"/>
      <c r="E81" s="257"/>
      <c r="F81" s="257"/>
      <c r="G81" s="257"/>
      <c r="H81" s="222"/>
      <c r="I81" s="222"/>
      <c r="J81" s="222"/>
      <c r="K81" s="222"/>
      <c r="L81" s="222"/>
      <c r="M81" s="222"/>
      <c r="N81" s="222"/>
      <c r="O81" s="222"/>
    </row>
    <row r="82" spans="1:15" s="246" customFormat="1" ht="12.75">
      <c r="A82" s="257"/>
      <c r="B82" s="257"/>
      <c r="C82" s="257"/>
      <c r="D82" s="257"/>
      <c r="E82" s="257"/>
      <c r="F82" s="257"/>
      <c r="G82" s="257"/>
      <c r="H82" s="222"/>
      <c r="I82" s="222"/>
      <c r="J82" s="222"/>
      <c r="K82" s="222"/>
      <c r="L82" s="222"/>
      <c r="M82" s="222"/>
      <c r="N82" s="222"/>
      <c r="O82" s="222"/>
    </row>
    <row r="83" spans="1:15" s="246" customFormat="1" ht="12.75">
      <c r="A83" s="257" t="s">
        <v>177</v>
      </c>
      <c r="B83" s="259">
        <v>0.5304</v>
      </c>
      <c r="C83" s="257"/>
      <c r="D83" s="260">
        <f>B$80</f>
        <v>-1</v>
      </c>
      <c r="E83" s="257">
        <f>ROUND(B83*(1+D83),4)</f>
        <v>0</v>
      </c>
      <c r="F83" s="257"/>
      <c r="G83" s="257"/>
      <c r="H83" s="222"/>
      <c r="I83" s="222"/>
      <c r="J83" s="222"/>
      <c r="K83" s="222"/>
      <c r="L83" s="222"/>
      <c r="M83" s="222"/>
      <c r="N83" s="222"/>
      <c r="O83" s="222"/>
    </row>
    <row r="84" spans="1:15" s="246" customFormat="1" ht="12.75">
      <c r="A84" s="257" t="s">
        <v>178</v>
      </c>
      <c r="B84" s="259">
        <v>0.3437</v>
      </c>
      <c r="C84" s="257"/>
      <c r="D84" s="258">
        <f aca="true" t="shared" si="2" ref="D84:D91">B$80</f>
        <v>-1</v>
      </c>
      <c r="E84" s="257">
        <f aca="true" t="shared" si="3" ref="E84:E91">ROUND(B84*(1+D84),4)</f>
        <v>0</v>
      </c>
      <c r="F84" s="257"/>
      <c r="G84" s="257"/>
      <c r="H84" s="222"/>
      <c r="I84" s="222"/>
      <c r="J84" s="222"/>
      <c r="K84" s="222"/>
      <c r="L84" s="222"/>
      <c r="M84" s="222"/>
      <c r="N84" s="222"/>
      <c r="O84" s="222"/>
    </row>
    <row r="85" spans="1:15" s="246" customFormat="1" ht="12.75">
      <c r="A85" s="257" t="s">
        <v>179</v>
      </c>
      <c r="B85" s="259">
        <v>0.2679</v>
      </c>
      <c r="C85" s="257"/>
      <c r="D85" s="258">
        <f t="shared" si="2"/>
        <v>-1</v>
      </c>
      <c r="E85" s="257">
        <f t="shared" si="3"/>
        <v>0</v>
      </c>
      <c r="F85" s="257"/>
      <c r="G85" s="257"/>
      <c r="H85" s="222"/>
      <c r="I85" s="222"/>
      <c r="J85" s="222"/>
      <c r="K85" s="222"/>
      <c r="L85" s="222"/>
      <c r="M85" s="222"/>
      <c r="N85" s="222"/>
      <c r="O85" s="222"/>
    </row>
    <row r="86" spans="1:15" s="246" customFormat="1" ht="12.75">
      <c r="A86" s="257" t="s">
        <v>180</v>
      </c>
      <c r="B86" s="259">
        <v>0.2674</v>
      </c>
      <c r="C86" s="257"/>
      <c r="D86" s="258">
        <f t="shared" si="2"/>
        <v>-1</v>
      </c>
      <c r="E86" s="257">
        <f t="shared" si="3"/>
        <v>0</v>
      </c>
      <c r="F86" s="257"/>
      <c r="G86" s="257"/>
      <c r="H86" s="222"/>
      <c r="I86" s="222"/>
      <c r="J86" s="222"/>
      <c r="K86" s="222"/>
      <c r="L86" s="222"/>
      <c r="M86" s="222"/>
      <c r="N86" s="222"/>
      <c r="O86" s="222"/>
    </row>
    <row r="87" spans="1:15" s="246" customFormat="1" ht="12.75">
      <c r="A87" s="257" t="s">
        <v>181</v>
      </c>
      <c r="B87" s="259">
        <v>0.2006</v>
      </c>
      <c r="C87" s="257"/>
      <c r="D87" s="258">
        <f t="shared" si="2"/>
        <v>-1</v>
      </c>
      <c r="E87" s="257">
        <f t="shared" si="3"/>
        <v>0</v>
      </c>
      <c r="F87" s="257"/>
      <c r="G87" s="257"/>
      <c r="H87" s="222"/>
      <c r="I87" s="222"/>
      <c r="J87" s="222"/>
      <c r="K87" s="222"/>
      <c r="L87" s="222"/>
      <c r="M87" s="222"/>
      <c r="N87" s="222"/>
      <c r="O87" s="222"/>
    </row>
    <row r="88" spans="1:15" s="246" customFormat="1" ht="12.75">
      <c r="A88" s="257" t="s">
        <v>182</v>
      </c>
      <c r="B88" s="259">
        <v>0.1671</v>
      </c>
      <c r="C88" s="257"/>
      <c r="D88" s="258">
        <f t="shared" si="2"/>
        <v>-1</v>
      </c>
      <c r="E88" s="257">
        <f t="shared" si="3"/>
        <v>0</v>
      </c>
      <c r="F88" s="257"/>
      <c r="G88" s="257"/>
      <c r="H88" s="222"/>
      <c r="I88" s="222"/>
      <c r="J88" s="222"/>
      <c r="K88" s="222"/>
      <c r="L88" s="222"/>
      <c r="M88" s="222"/>
      <c r="N88" s="222"/>
      <c r="O88" s="222"/>
    </row>
    <row r="89" spans="1:15" s="246" customFormat="1" ht="12.75">
      <c r="A89" s="257" t="s">
        <v>183</v>
      </c>
      <c r="B89" s="259">
        <v>0.1142</v>
      </c>
      <c r="C89" s="257"/>
      <c r="D89" s="258">
        <f t="shared" si="2"/>
        <v>-1</v>
      </c>
      <c r="E89" s="257">
        <f t="shared" si="3"/>
        <v>0</v>
      </c>
      <c r="F89" s="257"/>
      <c r="G89" s="257"/>
      <c r="H89" s="222"/>
      <c r="I89" s="222"/>
      <c r="J89" s="222"/>
      <c r="K89" s="222"/>
      <c r="L89" s="222"/>
      <c r="M89" s="222"/>
      <c r="N89" s="222"/>
      <c r="O89" s="222"/>
    </row>
    <row r="90" spans="1:15" s="246" customFormat="1" ht="12.75">
      <c r="A90" s="257" t="s">
        <v>184</v>
      </c>
      <c r="B90" s="259">
        <v>0.0571</v>
      </c>
      <c r="C90" s="257"/>
      <c r="D90" s="258">
        <f t="shared" si="2"/>
        <v>-1</v>
      </c>
      <c r="E90" s="257">
        <f t="shared" si="3"/>
        <v>0</v>
      </c>
      <c r="F90" s="257"/>
      <c r="G90" s="257"/>
      <c r="H90" s="222"/>
      <c r="I90" s="222"/>
      <c r="J90" s="222"/>
      <c r="K90" s="222"/>
      <c r="L90" s="222"/>
      <c r="M90" s="222"/>
      <c r="N90" s="222"/>
      <c r="O90" s="222"/>
    </row>
    <row r="91" spans="1:11" s="246" customFormat="1" ht="12.75">
      <c r="A91" s="257" t="s">
        <v>185</v>
      </c>
      <c r="B91" s="259">
        <v>0.2679</v>
      </c>
      <c r="C91" s="257"/>
      <c r="D91" s="258">
        <f t="shared" si="2"/>
        <v>-1</v>
      </c>
      <c r="E91" s="257">
        <f t="shared" si="3"/>
        <v>0</v>
      </c>
      <c r="F91" s="257"/>
      <c r="G91" s="257"/>
      <c r="H91" s="222"/>
      <c r="I91" s="222"/>
      <c r="J91" s="222"/>
      <c r="K91" s="222"/>
    </row>
    <row r="92" spans="1:11" s="246" customFormat="1" ht="12.75">
      <c r="A92" s="257"/>
      <c r="B92" s="257"/>
      <c r="C92" s="257"/>
      <c r="D92" s="257"/>
      <c r="E92" s="257"/>
      <c r="F92" s="257"/>
      <c r="G92" s="257"/>
      <c r="H92" s="222"/>
      <c r="I92" s="222"/>
      <c r="J92" s="222"/>
      <c r="K92" s="222"/>
    </row>
    <row r="93" spans="1:11" s="246" customFormat="1" ht="12.75">
      <c r="A93" s="257"/>
      <c r="B93" s="257"/>
      <c r="C93" s="257"/>
      <c r="D93" s="257"/>
      <c r="E93" s="257"/>
      <c r="F93" s="257"/>
      <c r="G93" s="257"/>
      <c r="H93" s="222"/>
      <c r="I93" s="222"/>
      <c r="J93" s="222"/>
      <c r="K93" s="222"/>
    </row>
    <row r="94" spans="1:11" s="246" customFormat="1" ht="12.75">
      <c r="A94" s="257"/>
      <c r="B94" s="257"/>
      <c r="C94" s="257"/>
      <c r="D94" s="257"/>
      <c r="E94" s="257"/>
      <c r="F94" s="257"/>
      <c r="G94" s="257"/>
      <c r="H94" s="222"/>
      <c r="I94" s="222"/>
      <c r="J94" s="222"/>
      <c r="K94" s="222"/>
    </row>
    <row r="95" spans="1:11" s="246" customFormat="1" ht="12.75">
      <c r="A95" s="257"/>
      <c r="B95" s="257"/>
      <c r="C95" s="257"/>
      <c r="D95" s="257"/>
      <c r="E95" s="257"/>
      <c r="F95" s="257"/>
      <c r="G95" s="257"/>
      <c r="H95" s="222"/>
      <c r="I95" s="222"/>
      <c r="J95" s="222"/>
      <c r="K95" s="222"/>
    </row>
    <row r="96" spans="1:11" s="246" customFormat="1" ht="12.75">
      <c r="A96" s="257"/>
      <c r="B96" s="257"/>
      <c r="C96" s="257"/>
      <c r="D96" s="257"/>
      <c r="E96" s="257"/>
      <c r="F96" s="257"/>
      <c r="G96" s="257"/>
      <c r="H96" s="222"/>
      <c r="I96" s="222"/>
      <c r="J96" s="222"/>
      <c r="K96" s="222"/>
    </row>
    <row r="97" spans="1:11" s="246" customFormat="1" ht="12.75">
      <c r="A97" s="257"/>
      <c r="B97" s="257"/>
      <c r="C97" s="257"/>
      <c r="D97" s="257"/>
      <c r="E97" s="257"/>
      <c r="F97" s="257"/>
      <c r="G97" s="257"/>
      <c r="H97" s="222"/>
      <c r="I97" s="222"/>
      <c r="J97" s="222"/>
      <c r="K97" s="222"/>
    </row>
    <row r="98" spans="1:11" s="246" customFormat="1" ht="12.75">
      <c r="A98" s="257"/>
      <c r="B98" s="257"/>
      <c r="C98" s="257"/>
      <c r="D98" s="257"/>
      <c r="E98" s="257"/>
      <c r="F98" s="257"/>
      <c r="G98" s="257"/>
      <c r="H98" s="222"/>
      <c r="I98" s="222"/>
      <c r="J98" s="222"/>
      <c r="K98" s="222"/>
    </row>
    <row r="99" spans="1:11" s="246" customFormat="1" ht="12.75">
      <c r="A99" s="257"/>
      <c r="B99" s="257"/>
      <c r="C99" s="257"/>
      <c r="D99" s="257"/>
      <c r="E99" s="257"/>
      <c r="F99" s="257"/>
      <c r="G99" s="257"/>
      <c r="H99" s="222"/>
      <c r="I99" s="222"/>
      <c r="J99" s="222"/>
      <c r="K99" s="222"/>
    </row>
    <row r="100" spans="1:11" s="246" customFormat="1" ht="12.75">
      <c r="A100" s="257"/>
      <c r="B100" s="257"/>
      <c r="C100" s="257"/>
      <c r="D100" s="257"/>
      <c r="E100" s="257"/>
      <c r="F100" s="257"/>
      <c r="G100" s="257"/>
      <c r="H100" s="222"/>
      <c r="I100" s="222"/>
      <c r="J100" s="222"/>
      <c r="K100" s="222"/>
    </row>
    <row r="101" spans="1:11" s="246" customFormat="1" ht="12.75">
      <c r="A101" s="257"/>
      <c r="B101" s="257"/>
      <c r="C101" s="257"/>
      <c r="D101" s="257"/>
      <c r="E101" s="257"/>
      <c r="F101" s="257"/>
      <c r="G101" s="257"/>
      <c r="H101" s="222"/>
      <c r="I101" s="222"/>
      <c r="J101" s="222"/>
      <c r="K101" s="222"/>
    </row>
    <row r="102" spans="1:11" s="246" customFormat="1" ht="12.75">
      <c r="A102" s="257"/>
      <c r="B102" s="257"/>
      <c r="C102" s="257"/>
      <c r="D102" s="257"/>
      <c r="E102" s="257"/>
      <c r="F102" s="257"/>
      <c r="G102" s="257"/>
      <c r="H102" s="222"/>
      <c r="I102" s="222"/>
      <c r="J102" s="222"/>
      <c r="K102" s="222"/>
    </row>
    <row r="103" spans="1:11" s="246" customFormat="1" ht="12.75">
      <c r="A103" s="257"/>
      <c r="B103" s="257"/>
      <c r="C103" s="257"/>
      <c r="D103" s="257"/>
      <c r="E103" s="257"/>
      <c r="F103" s="257"/>
      <c r="G103" s="257"/>
      <c r="H103" s="222"/>
      <c r="I103" s="222"/>
      <c r="J103" s="222"/>
      <c r="K103" s="222"/>
    </row>
    <row r="104" spans="1:11" s="246" customFormat="1" ht="12.75">
      <c r="A104" s="257"/>
      <c r="B104" s="257"/>
      <c r="C104" s="257"/>
      <c r="D104" s="257"/>
      <c r="E104" s="257"/>
      <c r="F104" s="257"/>
      <c r="G104" s="257"/>
      <c r="H104" s="222"/>
      <c r="I104" s="222"/>
      <c r="J104" s="222"/>
      <c r="K104" s="222"/>
    </row>
    <row r="105" spans="1:11" s="246" customFormat="1" ht="12.75">
      <c r="A105" s="257"/>
      <c r="B105" s="257"/>
      <c r="C105" s="257"/>
      <c r="D105" s="257"/>
      <c r="E105" s="257"/>
      <c r="F105" s="257"/>
      <c r="G105" s="257"/>
      <c r="H105" s="222"/>
      <c r="I105" s="222"/>
      <c r="J105" s="222"/>
      <c r="K105" s="222"/>
    </row>
    <row r="106" spans="1:11" s="246" customFormat="1" ht="12.75">
      <c r="A106" s="257"/>
      <c r="B106" s="257"/>
      <c r="C106" s="257"/>
      <c r="D106" s="257"/>
      <c r="E106" s="257"/>
      <c r="F106" s="257"/>
      <c r="G106" s="257"/>
      <c r="H106" s="222"/>
      <c r="I106" s="222"/>
      <c r="J106" s="222"/>
      <c r="K106" s="222"/>
    </row>
    <row r="107" spans="1:11" s="246" customFormat="1" ht="12.75">
      <c r="A107" s="257"/>
      <c r="B107" s="257"/>
      <c r="C107" s="257"/>
      <c r="D107" s="257"/>
      <c r="E107" s="257"/>
      <c r="F107" s="257"/>
      <c r="G107" s="257"/>
      <c r="H107" s="222"/>
      <c r="I107" s="222"/>
      <c r="J107" s="222"/>
      <c r="K107" s="222"/>
    </row>
    <row r="108" spans="1:11" s="246" customFormat="1" ht="12.75">
      <c r="A108" s="257"/>
      <c r="B108" s="257"/>
      <c r="C108" s="257"/>
      <c r="D108" s="257"/>
      <c r="E108" s="257"/>
      <c r="F108" s="257"/>
      <c r="G108" s="257"/>
      <c r="H108" s="222"/>
      <c r="I108" s="222"/>
      <c r="J108" s="222"/>
      <c r="K108" s="222"/>
    </row>
    <row r="109" spans="1:11" s="246" customFormat="1" ht="12.75">
      <c r="A109" s="257"/>
      <c r="B109" s="257"/>
      <c r="C109" s="257"/>
      <c r="D109" s="257"/>
      <c r="E109" s="257"/>
      <c r="F109" s="257"/>
      <c r="G109" s="257"/>
      <c r="H109" s="222"/>
      <c r="I109" s="222"/>
      <c r="J109" s="222"/>
      <c r="K109" s="222"/>
    </row>
    <row r="110" spans="1:11" s="246" customFormat="1" ht="12.75">
      <c r="A110" s="257"/>
      <c r="B110" s="257"/>
      <c r="C110" s="257"/>
      <c r="D110" s="257"/>
      <c r="E110" s="257"/>
      <c r="F110" s="257"/>
      <c r="G110" s="257"/>
      <c r="H110" s="222"/>
      <c r="I110" s="222"/>
      <c r="J110" s="222"/>
      <c r="K110" s="222"/>
    </row>
    <row r="111" spans="1:11" s="246" customFormat="1" ht="12.75">
      <c r="A111" s="257"/>
      <c r="B111" s="257"/>
      <c r="C111" s="257"/>
      <c r="D111" s="257"/>
      <c r="E111" s="257"/>
      <c r="F111" s="257"/>
      <c r="G111" s="257"/>
      <c r="H111" s="222"/>
      <c r="I111" s="222"/>
      <c r="J111" s="222"/>
      <c r="K111" s="222"/>
    </row>
    <row r="112" spans="1:11" s="246" customFormat="1" ht="12.75">
      <c r="A112" s="257"/>
      <c r="B112" s="257"/>
      <c r="C112" s="257"/>
      <c r="D112" s="257"/>
      <c r="E112" s="257"/>
      <c r="F112" s="257"/>
      <c r="G112" s="257"/>
      <c r="H112" s="222"/>
      <c r="I112" s="222"/>
      <c r="J112" s="222"/>
      <c r="K112" s="222"/>
    </row>
    <row r="113" spans="1:11" s="246" customFormat="1" ht="12.75">
      <c r="A113" s="261"/>
      <c r="B113" s="261"/>
      <c r="C113" s="261"/>
      <c r="D113" s="261"/>
      <c r="E113" s="261"/>
      <c r="F113" s="261"/>
      <c r="G113" s="261"/>
      <c r="K113" s="222"/>
    </row>
    <row r="114" spans="1:11" s="246" customFormat="1" ht="12.75">
      <c r="A114" s="261"/>
      <c r="B114" s="261"/>
      <c r="C114" s="261"/>
      <c r="D114" s="261"/>
      <c r="E114" s="261"/>
      <c r="F114" s="261"/>
      <c r="G114" s="261"/>
      <c r="K114" s="222"/>
    </row>
    <row r="115" spans="1:11" s="246" customFormat="1" ht="12.75">
      <c r="A115" s="261"/>
      <c r="B115" s="261"/>
      <c r="C115" s="261"/>
      <c r="D115" s="261"/>
      <c r="E115" s="261"/>
      <c r="F115" s="261"/>
      <c r="G115" s="261"/>
      <c r="K115" s="222"/>
    </row>
    <row r="116" spans="1:11" s="246" customFormat="1" ht="12.75">
      <c r="A116" s="261"/>
      <c r="B116" s="261"/>
      <c r="C116" s="261"/>
      <c r="D116" s="261"/>
      <c r="E116" s="261"/>
      <c r="F116" s="261"/>
      <c r="G116" s="261"/>
      <c r="K116" s="222"/>
    </row>
    <row r="117" spans="1:11" s="246" customFormat="1" ht="12.75">
      <c r="A117" s="261"/>
      <c r="B117" s="261"/>
      <c r="C117" s="261"/>
      <c r="D117" s="261"/>
      <c r="E117" s="261"/>
      <c r="F117" s="261"/>
      <c r="G117" s="261"/>
      <c r="K117" s="222"/>
    </row>
    <row r="118" spans="1:11" s="246" customFormat="1" ht="12.75">
      <c r="A118" s="261"/>
      <c r="B118" s="261"/>
      <c r="C118" s="261"/>
      <c r="D118" s="261"/>
      <c r="E118" s="261"/>
      <c r="F118" s="261"/>
      <c r="G118" s="261"/>
      <c r="K118" s="222"/>
    </row>
    <row r="119" spans="1:11" s="246" customFormat="1" ht="12.75">
      <c r="A119" s="261"/>
      <c r="B119" s="261"/>
      <c r="C119" s="261"/>
      <c r="D119" s="261"/>
      <c r="E119" s="261"/>
      <c r="F119" s="261"/>
      <c r="G119" s="261"/>
      <c r="K119" s="222"/>
    </row>
    <row r="120" spans="1:11" s="246" customFormat="1" ht="12.75">
      <c r="A120" s="261"/>
      <c r="B120" s="261"/>
      <c r="C120" s="261"/>
      <c r="D120" s="261"/>
      <c r="E120" s="261"/>
      <c r="F120" s="261"/>
      <c r="G120" s="261"/>
      <c r="K120" s="222"/>
    </row>
    <row r="121" spans="1:11" s="246" customFormat="1" ht="12.75">
      <c r="A121" s="261"/>
      <c r="B121" s="261"/>
      <c r="C121" s="261"/>
      <c r="D121" s="261"/>
      <c r="E121" s="261"/>
      <c r="F121" s="261"/>
      <c r="G121" s="261"/>
      <c r="K121" s="222"/>
    </row>
    <row r="122" spans="1:11" s="246" customFormat="1" ht="12.75">
      <c r="A122" s="261"/>
      <c r="B122" s="261"/>
      <c r="C122" s="261"/>
      <c r="D122" s="261"/>
      <c r="E122" s="261"/>
      <c r="F122" s="261"/>
      <c r="G122" s="261"/>
      <c r="K122" s="222"/>
    </row>
    <row r="123" spans="1:11" s="246" customFormat="1" ht="12.75">
      <c r="A123" s="261"/>
      <c r="B123" s="261"/>
      <c r="C123" s="261"/>
      <c r="D123" s="261"/>
      <c r="E123" s="261"/>
      <c r="F123" s="261"/>
      <c r="G123" s="261"/>
      <c r="K123" s="222"/>
    </row>
    <row r="124" spans="1:11" s="246" customFormat="1" ht="12.75">
      <c r="A124" s="261"/>
      <c r="B124" s="261"/>
      <c r="C124" s="261"/>
      <c r="D124" s="261"/>
      <c r="E124" s="261"/>
      <c r="F124" s="261"/>
      <c r="G124" s="261"/>
      <c r="K124" s="222"/>
    </row>
    <row r="125" spans="1:11" s="246" customFormat="1" ht="12.75">
      <c r="A125" s="261"/>
      <c r="B125" s="261"/>
      <c r="C125" s="261"/>
      <c r="D125" s="261"/>
      <c r="E125" s="261"/>
      <c r="F125" s="261"/>
      <c r="G125" s="261"/>
      <c r="K125" s="222"/>
    </row>
    <row r="126" spans="1:11" s="246" customFormat="1" ht="12.75">
      <c r="A126" s="261"/>
      <c r="B126" s="261"/>
      <c r="C126" s="261"/>
      <c r="D126" s="261"/>
      <c r="E126" s="261"/>
      <c r="F126" s="261"/>
      <c r="G126" s="261"/>
      <c r="K126" s="222"/>
    </row>
    <row r="127" spans="1:11" s="246" customFormat="1" ht="12.75">
      <c r="A127" s="261"/>
      <c r="B127" s="261"/>
      <c r="C127" s="261"/>
      <c r="D127" s="261"/>
      <c r="E127" s="261"/>
      <c r="F127" s="261"/>
      <c r="G127" s="261"/>
      <c r="K127" s="222"/>
    </row>
    <row r="128" spans="1:11" s="246" customFormat="1" ht="12.75">
      <c r="A128" s="261"/>
      <c r="B128" s="261"/>
      <c r="C128" s="261"/>
      <c r="D128" s="261"/>
      <c r="E128" s="261"/>
      <c r="F128" s="261"/>
      <c r="G128" s="261"/>
      <c r="K128" s="222"/>
    </row>
    <row r="129" spans="1:11" s="246" customFormat="1" ht="12.75">
      <c r="A129" s="261"/>
      <c r="B129" s="261"/>
      <c r="C129" s="261"/>
      <c r="D129" s="261"/>
      <c r="E129" s="261"/>
      <c r="F129" s="261"/>
      <c r="G129" s="261"/>
      <c r="K129" s="222"/>
    </row>
    <row r="130" spans="1:11" s="246" customFormat="1" ht="12.75">
      <c r="A130" s="261"/>
      <c r="B130" s="261"/>
      <c r="C130" s="261"/>
      <c r="D130" s="261"/>
      <c r="E130" s="261"/>
      <c r="F130" s="261"/>
      <c r="G130" s="261"/>
      <c r="K130" s="222"/>
    </row>
    <row r="131" spans="1:11" s="246" customFormat="1" ht="12.75">
      <c r="A131" s="261"/>
      <c r="B131" s="261"/>
      <c r="C131" s="261"/>
      <c r="D131" s="261"/>
      <c r="E131" s="261"/>
      <c r="F131" s="261"/>
      <c r="G131" s="261"/>
      <c r="K131" s="222"/>
    </row>
    <row r="132" spans="1:11" s="246" customFormat="1" ht="12.75">
      <c r="A132" s="261"/>
      <c r="B132" s="261"/>
      <c r="C132" s="261"/>
      <c r="D132" s="261"/>
      <c r="E132" s="261"/>
      <c r="F132" s="261"/>
      <c r="G132" s="261"/>
      <c r="K132" s="222"/>
    </row>
    <row r="133" spans="1:11" s="246" customFormat="1" ht="12.75">
      <c r="A133" s="261"/>
      <c r="B133" s="261"/>
      <c r="C133" s="261"/>
      <c r="D133" s="261"/>
      <c r="E133" s="261"/>
      <c r="F133" s="261"/>
      <c r="G133" s="261"/>
      <c r="K133" s="222"/>
    </row>
    <row r="134" spans="1:11" s="246" customFormat="1" ht="12.75">
      <c r="A134" s="261"/>
      <c r="B134" s="261"/>
      <c r="C134" s="261"/>
      <c r="D134" s="261"/>
      <c r="E134" s="261"/>
      <c r="F134" s="261"/>
      <c r="G134" s="261"/>
      <c r="K134" s="222"/>
    </row>
    <row r="135" spans="1:11" s="246" customFormat="1" ht="12.75">
      <c r="A135" s="261"/>
      <c r="B135" s="261"/>
      <c r="C135" s="261"/>
      <c r="D135" s="261"/>
      <c r="E135" s="261"/>
      <c r="F135" s="261"/>
      <c r="G135" s="261"/>
      <c r="K135" s="222"/>
    </row>
    <row r="136" spans="1:11" s="246" customFormat="1" ht="12.75">
      <c r="A136" s="261"/>
      <c r="B136" s="261"/>
      <c r="C136" s="261"/>
      <c r="D136" s="261"/>
      <c r="E136" s="261"/>
      <c r="F136" s="261"/>
      <c r="G136" s="261"/>
      <c r="K136" s="222"/>
    </row>
    <row r="137" spans="1:11" s="246" customFormat="1" ht="12.75">
      <c r="A137" s="261"/>
      <c r="B137" s="261"/>
      <c r="C137" s="261"/>
      <c r="D137" s="261"/>
      <c r="E137" s="261"/>
      <c r="F137" s="261"/>
      <c r="G137" s="261"/>
      <c r="K137" s="222"/>
    </row>
    <row r="138" spans="1:11" s="246" customFormat="1" ht="12.75">
      <c r="A138" s="261"/>
      <c r="B138" s="261"/>
      <c r="C138" s="261"/>
      <c r="D138" s="261"/>
      <c r="E138" s="261"/>
      <c r="F138" s="261"/>
      <c r="G138" s="261"/>
      <c r="K138" s="222"/>
    </row>
    <row r="139" spans="1:11" s="246" customFormat="1" ht="12.75">
      <c r="A139" s="261"/>
      <c r="B139" s="261"/>
      <c r="C139" s="261"/>
      <c r="D139" s="261"/>
      <c r="E139" s="261"/>
      <c r="F139" s="261"/>
      <c r="G139" s="261"/>
      <c r="K139" s="222"/>
    </row>
    <row r="140" spans="1:11" s="246" customFormat="1" ht="12.75">
      <c r="A140" s="261"/>
      <c r="B140" s="261"/>
      <c r="C140" s="261"/>
      <c r="D140" s="261"/>
      <c r="E140" s="261"/>
      <c r="F140" s="261"/>
      <c r="G140" s="261"/>
      <c r="K140" s="222"/>
    </row>
    <row r="141" spans="1:11" s="246" customFormat="1" ht="12.75">
      <c r="A141" s="261"/>
      <c r="B141" s="261"/>
      <c r="C141" s="261"/>
      <c r="D141" s="261"/>
      <c r="E141" s="261"/>
      <c r="F141" s="261"/>
      <c r="G141" s="261"/>
      <c r="K141" s="222"/>
    </row>
    <row r="142" spans="1:11" s="246" customFormat="1" ht="12.75">
      <c r="A142" s="261"/>
      <c r="B142" s="261"/>
      <c r="C142" s="261"/>
      <c r="D142" s="261"/>
      <c r="E142" s="261"/>
      <c r="F142" s="261"/>
      <c r="G142" s="261"/>
      <c r="K142" s="222"/>
    </row>
    <row r="143" s="246" customFormat="1" ht="12.75">
      <c r="K143" s="222"/>
    </row>
    <row r="144" s="246" customFormat="1" ht="12.75">
      <c r="K144" s="222"/>
    </row>
    <row r="145" s="246" customFormat="1" ht="12.75">
      <c r="K145" s="222"/>
    </row>
    <row r="146" s="246" customFormat="1" ht="12.75">
      <c r="K146" s="222"/>
    </row>
    <row r="147" s="246" customFormat="1" ht="12.75">
      <c r="K147" s="222"/>
    </row>
    <row r="148" s="246" customFormat="1" ht="12.75">
      <c r="K148" s="222"/>
    </row>
    <row r="149" s="246" customFormat="1" ht="12.75">
      <c r="K149" s="222"/>
    </row>
    <row r="150" s="246" customFormat="1" ht="12.75">
      <c r="K150" s="222"/>
    </row>
    <row r="151" s="246" customFormat="1" ht="12.75">
      <c r="K151" s="222"/>
    </row>
    <row r="152" s="246" customFormat="1" ht="12.75">
      <c r="K152" s="222"/>
    </row>
    <row r="153" s="246" customFormat="1" ht="12.75">
      <c r="K153" s="222"/>
    </row>
    <row r="154" s="246" customFormat="1" ht="12.75">
      <c r="K154" s="222"/>
    </row>
    <row r="155" s="246" customFormat="1" ht="12.75">
      <c r="K155" s="222"/>
    </row>
    <row r="156" s="246" customFormat="1" ht="12.75">
      <c r="K156" s="222"/>
    </row>
    <row r="157" s="246" customFormat="1" ht="12.75">
      <c r="K157" s="222"/>
    </row>
    <row r="158" s="246" customFormat="1" ht="12.75">
      <c r="K158" s="222"/>
    </row>
    <row r="159" s="246" customFormat="1" ht="12.75">
      <c r="K159" s="222"/>
    </row>
    <row r="160" s="246" customFormat="1" ht="12.75">
      <c r="K160" s="222"/>
    </row>
    <row r="161" s="246" customFormat="1" ht="12.75">
      <c r="K161" s="222"/>
    </row>
    <row r="162" s="246" customFormat="1" ht="12.75">
      <c r="K162" s="222"/>
    </row>
    <row r="163" s="246" customFormat="1" ht="12.75">
      <c r="K163" s="222"/>
    </row>
    <row r="164" s="246" customFormat="1" ht="12.75">
      <c r="K164" s="222"/>
    </row>
    <row r="165" s="246" customFormat="1" ht="12.75">
      <c r="K165" s="222"/>
    </row>
    <row r="166" s="246" customFormat="1" ht="12.75">
      <c r="K166" s="222"/>
    </row>
    <row r="167" s="246" customFormat="1" ht="12.75">
      <c r="K167" s="222"/>
    </row>
    <row r="168" s="246" customFormat="1" ht="12.75">
      <c r="K168" s="222"/>
    </row>
    <row r="169" s="246" customFormat="1" ht="12.75">
      <c r="K169" s="222"/>
    </row>
    <row r="170" s="246" customFormat="1" ht="12.75">
      <c r="K170" s="222"/>
    </row>
    <row r="171" s="246" customFormat="1" ht="12.75">
      <c r="K171" s="222"/>
    </row>
    <row r="172" s="246" customFormat="1" ht="12.75">
      <c r="K172" s="222"/>
    </row>
    <row r="173" s="246" customFormat="1" ht="12.75">
      <c r="K173" s="222"/>
    </row>
    <row r="174" s="246" customFormat="1" ht="12.75">
      <c r="K174" s="222"/>
    </row>
    <row r="175" s="246" customFormat="1" ht="12.75">
      <c r="K175" s="222"/>
    </row>
    <row r="176" s="246" customFormat="1" ht="12.75">
      <c r="K176" s="222"/>
    </row>
    <row r="177" s="246" customFormat="1" ht="12.75">
      <c r="K177" s="222"/>
    </row>
    <row r="178" s="246" customFormat="1" ht="12.75">
      <c r="K178" s="222"/>
    </row>
    <row r="179" s="246" customFormat="1" ht="12.75">
      <c r="K179" s="222"/>
    </row>
    <row r="180" s="246" customFormat="1" ht="12.75">
      <c r="K180" s="222"/>
    </row>
    <row r="181" s="246" customFormat="1" ht="12.75">
      <c r="K181" s="222"/>
    </row>
    <row r="182" s="246" customFormat="1" ht="12.75">
      <c r="K182" s="222"/>
    </row>
    <row r="183" s="246" customFormat="1" ht="12.75">
      <c r="K183" s="222"/>
    </row>
    <row r="184" s="246" customFormat="1" ht="12.75">
      <c r="K184" s="222"/>
    </row>
    <row r="185" s="246" customFormat="1" ht="12.75">
      <c r="K185" s="222"/>
    </row>
    <row r="186" s="246" customFormat="1" ht="12.75">
      <c r="K186" s="222"/>
    </row>
    <row r="187" s="246" customFormat="1" ht="12.75">
      <c r="K187" s="222"/>
    </row>
    <row r="188" s="246" customFormat="1" ht="12.75">
      <c r="K188" s="222"/>
    </row>
    <row r="189" s="246" customFormat="1" ht="12.75">
      <c r="K189" s="222"/>
    </row>
    <row r="190" s="246" customFormat="1" ht="12.75">
      <c r="K190" s="222"/>
    </row>
    <row r="191" s="246" customFormat="1" ht="12.75">
      <c r="K191" s="222"/>
    </row>
    <row r="192" s="246" customFormat="1" ht="12.75">
      <c r="K192" s="222"/>
    </row>
    <row r="193" s="246" customFormat="1" ht="12.75">
      <c r="K193" s="222"/>
    </row>
    <row r="194" s="246" customFormat="1" ht="12.75">
      <c r="K194" s="222"/>
    </row>
    <row r="195" s="246" customFormat="1" ht="12.75">
      <c r="K195" s="222"/>
    </row>
    <row r="196" s="246" customFormat="1" ht="12.75">
      <c r="K196" s="222"/>
    </row>
    <row r="197" s="246" customFormat="1" ht="12.75">
      <c r="K197" s="222"/>
    </row>
    <row r="198" s="246" customFormat="1" ht="12.75">
      <c r="K198" s="222"/>
    </row>
    <row r="199" s="246" customFormat="1" ht="12.75">
      <c r="K199" s="222"/>
    </row>
    <row r="200" s="246" customFormat="1" ht="12.75">
      <c r="K200" s="222"/>
    </row>
    <row r="201" s="246" customFormat="1" ht="12.75">
      <c r="K201" s="222"/>
    </row>
    <row r="202" s="246" customFormat="1" ht="12.75">
      <c r="K202" s="222"/>
    </row>
    <row r="203" s="246" customFormat="1" ht="12.75">
      <c r="K203" s="222"/>
    </row>
    <row r="204" s="246" customFormat="1" ht="12.75">
      <c r="K204" s="222"/>
    </row>
    <row r="205" s="246" customFormat="1" ht="12.75">
      <c r="K205" s="222"/>
    </row>
    <row r="206" s="246" customFormat="1" ht="12.75">
      <c r="K206" s="222"/>
    </row>
    <row r="207" s="246" customFormat="1" ht="12.75">
      <c r="K207" s="222"/>
    </row>
    <row r="208" s="246" customFormat="1" ht="12.75">
      <c r="K208" s="222"/>
    </row>
    <row r="209" s="246" customFormat="1" ht="12.75">
      <c r="K209" s="222"/>
    </row>
    <row r="210" s="246" customFormat="1" ht="12.75">
      <c r="K210" s="222"/>
    </row>
    <row r="211" s="246" customFormat="1" ht="12.75">
      <c r="K211" s="222"/>
    </row>
    <row r="212" s="246" customFormat="1" ht="12.75">
      <c r="K212" s="222"/>
    </row>
    <row r="213" s="246" customFormat="1" ht="12.75">
      <c r="K213" s="222"/>
    </row>
    <row r="214" s="246" customFormat="1" ht="12.75">
      <c r="K214" s="222"/>
    </row>
    <row r="215" s="246" customFormat="1" ht="12.75">
      <c r="K215" s="222"/>
    </row>
    <row r="216" s="246" customFormat="1" ht="12.75">
      <c r="K216" s="222"/>
    </row>
    <row r="217" s="246" customFormat="1" ht="12.75">
      <c r="K217" s="222"/>
    </row>
    <row r="218" s="246" customFormat="1" ht="12.75">
      <c r="K218" s="222"/>
    </row>
    <row r="219" s="246" customFormat="1" ht="12.75">
      <c r="K219" s="222"/>
    </row>
    <row r="220" s="246" customFormat="1" ht="12.75">
      <c r="K220" s="222"/>
    </row>
    <row r="221" s="246" customFormat="1" ht="12.75">
      <c r="K221" s="222"/>
    </row>
    <row r="222" s="246" customFormat="1" ht="12.75">
      <c r="K222" s="222"/>
    </row>
    <row r="223" s="246" customFormat="1" ht="12.75">
      <c r="K223" s="222"/>
    </row>
    <row r="224" s="246" customFormat="1" ht="12.75">
      <c r="K224" s="222"/>
    </row>
    <row r="225" s="246" customFormat="1" ht="12.75">
      <c r="K225" s="222"/>
    </row>
    <row r="226" s="246" customFormat="1" ht="12.75">
      <c r="K226" s="222"/>
    </row>
    <row r="227" s="246" customFormat="1" ht="12.75">
      <c r="K227" s="222"/>
    </row>
    <row r="228" s="246" customFormat="1" ht="12.75">
      <c r="K228" s="222"/>
    </row>
    <row r="229" s="246" customFormat="1" ht="12.75">
      <c r="K229" s="222"/>
    </row>
    <row r="230" s="246" customFormat="1" ht="12.75">
      <c r="K230" s="222"/>
    </row>
    <row r="231" s="246" customFormat="1" ht="12.75">
      <c r="K231" s="222"/>
    </row>
    <row r="232" s="246" customFormat="1" ht="12.75">
      <c r="K232" s="222"/>
    </row>
    <row r="233" s="246" customFormat="1" ht="12.75">
      <c r="K233" s="222"/>
    </row>
    <row r="234" s="246" customFormat="1" ht="12.75">
      <c r="K234" s="222"/>
    </row>
    <row r="235" s="246" customFormat="1" ht="12.75">
      <c r="K235" s="222"/>
    </row>
    <row r="236" s="246" customFormat="1" ht="12.75">
      <c r="K236" s="222"/>
    </row>
    <row r="237" s="246" customFormat="1" ht="12.75">
      <c r="K237" s="222"/>
    </row>
    <row r="238" s="246" customFormat="1" ht="12.75">
      <c r="K238" s="222"/>
    </row>
    <row r="239" s="246" customFormat="1" ht="12.75">
      <c r="K239" s="222"/>
    </row>
    <row r="240" s="246" customFormat="1" ht="12.75">
      <c r="K240" s="222"/>
    </row>
    <row r="241" s="246" customFormat="1" ht="12.75">
      <c r="K241" s="222"/>
    </row>
    <row r="242" s="246" customFormat="1" ht="12.75">
      <c r="K242" s="222"/>
    </row>
    <row r="243" s="246" customFormat="1" ht="12.75">
      <c r="K243" s="222"/>
    </row>
    <row r="244" s="246" customFormat="1" ht="12.75">
      <c r="K244" s="222"/>
    </row>
    <row r="245" s="246" customFormat="1" ht="12.75">
      <c r="K245" s="222"/>
    </row>
    <row r="246" s="246" customFormat="1" ht="12.75">
      <c r="K246" s="222"/>
    </row>
    <row r="247" s="246" customFormat="1" ht="12.75">
      <c r="K247" s="222"/>
    </row>
    <row r="248" s="246" customFormat="1" ht="12.75">
      <c r="K248" s="222"/>
    </row>
    <row r="249" s="246" customFormat="1" ht="12.75">
      <c r="K249" s="222"/>
    </row>
    <row r="250" s="246" customFormat="1" ht="12.75">
      <c r="K250" s="222"/>
    </row>
    <row r="251" s="246" customFormat="1" ht="12.75">
      <c r="K251" s="222"/>
    </row>
    <row r="252" s="246" customFormat="1" ht="12.75">
      <c r="K252" s="222"/>
    </row>
    <row r="253" s="246" customFormat="1" ht="12.75">
      <c r="K253" s="222"/>
    </row>
    <row r="254" s="246" customFormat="1" ht="12.75">
      <c r="K254" s="222"/>
    </row>
    <row r="255" s="246" customFormat="1" ht="12.75">
      <c r="K255" s="222"/>
    </row>
    <row r="256" s="246" customFormat="1" ht="12.75">
      <c r="K256" s="222"/>
    </row>
    <row r="257" s="246" customFormat="1" ht="12.75">
      <c r="K257" s="222"/>
    </row>
    <row r="258" s="246" customFormat="1" ht="12.75">
      <c r="K258" s="222"/>
    </row>
    <row r="259" s="246" customFormat="1" ht="12.75">
      <c r="K259" s="222"/>
    </row>
    <row r="260" s="246" customFormat="1" ht="12.75">
      <c r="K260" s="222"/>
    </row>
    <row r="261" s="246" customFormat="1" ht="12.75">
      <c r="K261" s="222"/>
    </row>
    <row r="262" s="246" customFormat="1" ht="12.75">
      <c r="K262" s="222"/>
    </row>
    <row r="263" s="246" customFormat="1" ht="12.75">
      <c r="K263" s="222"/>
    </row>
    <row r="264" s="246" customFormat="1" ht="12.75">
      <c r="K264" s="222"/>
    </row>
    <row r="265" s="246" customFormat="1" ht="12.75">
      <c r="K265" s="222"/>
    </row>
    <row r="266" s="246" customFormat="1" ht="12.75">
      <c r="K266" s="222"/>
    </row>
    <row r="267" s="246" customFormat="1" ht="12.75">
      <c r="K267" s="222"/>
    </row>
    <row r="268" s="246" customFormat="1" ht="12.75">
      <c r="K268" s="222"/>
    </row>
    <row r="269" s="246" customFormat="1" ht="12.75">
      <c r="K269" s="222"/>
    </row>
    <row r="270" s="246" customFormat="1" ht="12.75">
      <c r="K270" s="222"/>
    </row>
    <row r="271" s="246" customFormat="1" ht="12.75">
      <c r="K271" s="222"/>
    </row>
    <row r="272" s="246" customFormat="1" ht="12.75">
      <c r="K272" s="222"/>
    </row>
    <row r="273" s="246" customFormat="1" ht="12.75">
      <c r="K273" s="222"/>
    </row>
    <row r="274" s="246" customFormat="1" ht="12.75">
      <c r="K274" s="222"/>
    </row>
    <row r="275" s="246" customFormat="1" ht="12.75">
      <c r="K275" s="222"/>
    </row>
    <row r="276" s="246" customFormat="1" ht="12.75">
      <c r="K276" s="222"/>
    </row>
    <row r="277" s="246" customFormat="1" ht="12.75">
      <c r="K277" s="222"/>
    </row>
    <row r="278" s="246" customFormat="1" ht="12.75">
      <c r="K278" s="222"/>
    </row>
    <row r="279" s="246" customFormat="1" ht="12.75">
      <c r="K279" s="222"/>
    </row>
    <row r="280" s="246" customFormat="1" ht="12.75">
      <c r="K280" s="222"/>
    </row>
    <row r="281" s="246" customFormat="1" ht="12.75">
      <c r="K281" s="222"/>
    </row>
    <row r="282" s="246" customFormat="1" ht="12.75">
      <c r="K282" s="222"/>
    </row>
    <row r="283" s="246" customFormat="1" ht="12.75">
      <c r="K283" s="222"/>
    </row>
    <row r="284" s="246" customFormat="1" ht="12.75">
      <c r="K284" s="222"/>
    </row>
    <row r="285" s="246" customFormat="1" ht="12.75">
      <c r="K285" s="222"/>
    </row>
    <row r="286" s="246" customFormat="1" ht="12.75">
      <c r="K286" s="222"/>
    </row>
    <row r="287" s="246" customFormat="1" ht="12.75">
      <c r="K287" s="222"/>
    </row>
    <row r="288" s="246" customFormat="1" ht="12.75">
      <c r="K288" s="222"/>
    </row>
    <row r="289" s="246" customFormat="1" ht="12.75">
      <c r="K289" s="222"/>
    </row>
    <row r="290" s="246" customFormat="1" ht="12.75">
      <c r="K290" s="222"/>
    </row>
    <row r="291" s="246" customFormat="1" ht="12.75">
      <c r="K291" s="222"/>
    </row>
    <row r="292" s="246" customFormat="1" ht="12.75">
      <c r="K292" s="222"/>
    </row>
    <row r="293" s="246" customFormat="1" ht="12.75">
      <c r="K293" s="222"/>
    </row>
    <row r="294" s="246" customFormat="1" ht="12.75">
      <c r="K294" s="222"/>
    </row>
    <row r="295" s="246" customFormat="1" ht="12.75">
      <c r="K295" s="222"/>
    </row>
    <row r="296" s="246" customFormat="1" ht="12.75">
      <c r="K296" s="222"/>
    </row>
    <row r="297" s="246" customFormat="1" ht="12.75">
      <c r="K297" s="222"/>
    </row>
    <row r="298" s="246" customFormat="1" ht="12.75">
      <c r="K298" s="222"/>
    </row>
    <row r="299" s="246" customFormat="1" ht="12.75">
      <c r="K299" s="222"/>
    </row>
    <row r="300" s="246" customFormat="1" ht="12.75">
      <c r="K300" s="222"/>
    </row>
    <row r="301" s="246" customFormat="1" ht="12.75">
      <c r="K301" s="222"/>
    </row>
    <row r="302" s="246" customFormat="1" ht="12.75">
      <c r="K302" s="222"/>
    </row>
    <row r="303" s="246" customFormat="1" ht="12.75">
      <c r="K303" s="222"/>
    </row>
    <row r="304" s="246" customFormat="1" ht="12.75">
      <c r="K304" s="222"/>
    </row>
    <row r="305" s="246" customFormat="1" ht="12.75">
      <c r="K305" s="222"/>
    </row>
    <row r="306" s="246" customFormat="1" ht="12.75">
      <c r="K306" s="222"/>
    </row>
    <row r="307" s="246" customFormat="1" ht="12.75">
      <c r="K307" s="222"/>
    </row>
    <row r="308" s="246" customFormat="1" ht="12.75">
      <c r="K308" s="222"/>
    </row>
    <row r="309" s="246" customFormat="1" ht="12.75">
      <c r="K309" s="222"/>
    </row>
    <row r="310" s="246" customFormat="1" ht="12.75">
      <c r="K310" s="222"/>
    </row>
    <row r="311" s="246" customFormat="1" ht="12.75">
      <c r="K311" s="222"/>
    </row>
    <row r="312" s="246" customFormat="1" ht="12.75">
      <c r="K312" s="222"/>
    </row>
    <row r="313" s="246" customFormat="1" ht="12.75">
      <c r="K313" s="222"/>
    </row>
    <row r="314" s="246" customFormat="1" ht="12.75">
      <c r="K314" s="222"/>
    </row>
    <row r="315" s="246" customFormat="1" ht="12.75">
      <c r="K315" s="222"/>
    </row>
    <row r="316" s="246" customFormat="1" ht="12.75">
      <c r="K316" s="222"/>
    </row>
    <row r="317" s="246" customFormat="1" ht="12.75">
      <c r="K317" s="222"/>
    </row>
    <row r="318" s="246" customFormat="1" ht="12.75">
      <c r="K318" s="222"/>
    </row>
    <row r="319" s="246" customFormat="1" ht="12.75">
      <c r="K319" s="222"/>
    </row>
    <row r="320" s="246" customFormat="1" ht="12.75">
      <c r="K320" s="222"/>
    </row>
    <row r="321" s="246" customFormat="1" ht="12.75">
      <c r="K321" s="222"/>
    </row>
    <row r="322" s="246" customFormat="1" ht="12.75">
      <c r="K322" s="222"/>
    </row>
    <row r="323" s="246" customFormat="1" ht="12.75">
      <c r="K323" s="222"/>
    </row>
    <row r="324" s="246" customFormat="1" ht="12.75">
      <c r="K324" s="222"/>
    </row>
    <row r="325" s="246" customFormat="1" ht="12.75">
      <c r="K325" s="222"/>
    </row>
    <row r="326" s="246" customFormat="1" ht="12.75">
      <c r="K326" s="222"/>
    </row>
    <row r="327" s="246" customFormat="1" ht="12.75">
      <c r="K327" s="222"/>
    </row>
    <row r="328" s="246" customFormat="1" ht="12.75">
      <c r="K328" s="222"/>
    </row>
    <row r="329" s="246" customFormat="1" ht="12.75">
      <c r="K329" s="222"/>
    </row>
    <row r="330" s="246" customFormat="1" ht="12.75">
      <c r="K330" s="222"/>
    </row>
    <row r="331" s="246" customFormat="1" ht="12.75">
      <c r="K331" s="222"/>
    </row>
    <row r="332" s="246" customFormat="1" ht="12.75">
      <c r="K332" s="222"/>
    </row>
    <row r="333" s="246" customFormat="1" ht="12.75">
      <c r="K333" s="222"/>
    </row>
    <row r="334" s="246" customFormat="1" ht="12.75">
      <c r="K334" s="222"/>
    </row>
    <row r="335" s="246" customFormat="1" ht="12.75">
      <c r="K335" s="222"/>
    </row>
    <row r="336" s="246" customFormat="1" ht="12.75">
      <c r="K336" s="222"/>
    </row>
    <row r="337" s="246" customFormat="1" ht="12.75">
      <c r="K337" s="222"/>
    </row>
    <row r="338" s="246" customFormat="1" ht="12.75">
      <c r="K338" s="222"/>
    </row>
    <row r="339" s="246" customFormat="1" ht="12.75">
      <c r="K339" s="222"/>
    </row>
    <row r="340" s="246" customFormat="1" ht="12.75">
      <c r="K340" s="222"/>
    </row>
    <row r="341" s="246" customFormat="1" ht="12.75">
      <c r="K341" s="222"/>
    </row>
    <row r="342" s="246" customFormat="1" ht="12.75">
      <c r="K342" s="222"/>
    </row>
    <row r="343" s="246" customFormat="1" ht="12.75">
      <c r="K343" s="222"/>
    </row>
    <row r="344" s="246" customFormat="1" ht="12.75">
      <c r="K344" s="222"/>
    </row>
    <row r="345" s="246" customFormat="1" ht="12.75">
      <c r="K345" s="222"/>
    </row>
    <row r="346" s="246" customFormat="1" ht="12.75">
      <c r="K346" s="222"/>
    </row>
    <row r="347" s="246" customFormat="1" ht="12.75">
      <c r="K347" s="222"/>
    </row>
    <row r="348" s="246" customFormat="1" ht="12.75">
      <c r="K348" s="222"/>
    </row>
    <row r="349" s="246" customFormat="1" ht="12.75">
      <c r="K349" s="222"/>
    </row>
    <row r="350" s="246" customFormat="1" ht="12.75">
      <c r="K350" s="222"/>
    </row>
    <row r="351" s="246" customFormat="1" ht="12.75">
      <c r="K351" s="222"/>
    </row>
    <row r="352" s="246" customFormat="1" ht="12.75">
      <c r="K352" s="222"/>
    </row>
    <row r="353" s="246" customFormat="1" ht="12.75">
      <c r="K353" s="222"/>
    </row>
    <row r="354" s="246" customFormat="1" ht="12.75">
      <c r="K354" s="222"/>
    </row>
    <row r="355" s="246" customFormat="1" ht="12.75">
      <c r="K355" s="222"/>
    </row>
    <row r="356" s="246" customFormat="1" ht="12.75">
      <c r="K356" s="222"/>
    </row>
    <row r="357" s="246" customFormat="1" ht="12.75">
      <c r="K357" s="222"/>
    </row>
    <row r="358" s="246" customFormat="1" ht="12.75">
      <c r="K358" s="222"/>
    </row>
    <row r="359" s="246" customFormat="1" ht="12.75">
      <c r="K359" s="222"/>
    </row>
    <row r="360" s="246" customFormat="1" ht="12.75">
      <c r="K360" s="222"/>
    </row>
    <row r="361" ht="12.75">
      <c r="K361" s="192"/>
    </row>
    <row r="362" ht="12.75">
      <c r="K362" s="192"/>
    </row>
    <row r="363" ht="12.75">
      <c r="K363" s="192"/>
    </row>
    <row r="364" ht="12.75">
      <c r="K364" s="192"/>
    </row>
    <row r="365" ht="12.75">
      <c r="K365" s="192"/>
    </row>
    <row r="366" ht="12.75">
      <c r="K366" s="192"/>
    </row>
    <row r="367" ht="12.75">
      <c r="K367" s="192"/>
    </row>
    <row r="368" ht="12.75">
      <c r="K368" s="192"/>
    </row>
    <row r="369" ht="12.75">
      <c r="K369" s="192"/>
    </row>
    <row r="370" ht="12.75">
      <c r="K370" s="192"/>
    </row>
    <row r="371" ht="12.75">
      <c r="K371" s="192"/>
    </row>
    <row r="372" ht="12.75">
      <c r="K372" s="192"/>
    </row>
    <row r="373" ht="12.75">
      <c r="K373" s="192"/>
    </row>
    <row r="374" ht="12.75">
      <c r="K374" s="192"/>
    </row>
    <row r="375" ht="12.75">
      <c r="K375" s="192"/>
    </row>
    <row r="376" ht="12.75">
      <c r="K376" s="192"/>
    </row>
  </sheetData>
  <sheetProtection/>
  <printOptions horizontalCentered="1"/>
  <pageMargins left="0.51" right="0.36" top="1" bottom="1" header="0.5" footer="0.5"/>
  <pageSetup blackAndWhite="1" fitToHeight="1" fitToWidth="1" horizontalDpi="600" verticalDpi="6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="75" zoomScaleNormal="75" zoomScalePageLayoutView="0" workbookViewId="0" topLeftCell="A4">
      <selection activeCell="F10" sqref="F10:F18"/>
    </sheetView>
  </sheetViews>
  <sheetFormatPr defaultColWidth="9.140625" defaultRowHeight="12.75"/>
  <cols>
    <col min="1" max="1" width="37.7109375" style="0" customWidth="1"/>
    <col min="2" max="2" width="16.140625" style="0" bestFit="1" customWidth="1"/>
    <col min="3" max="3" width="13.57421875" style="0" customWidth="1"/>
    <col min="4" max="4" width="16.140625" style="0" bestFit="1" customWidth="1"/>
    <col min="5" max="6" width="13.57421875" style="0" customWidth="1"/>
    <col min="7" max="7" width="14.28125" style="0" customWidth="1"/>
    <col min="8" max="8" width="12.140625" style="0" customWidth="1"/>
    <col min="9" max="9" width="12.28125" style="0" customWidth="1"/>
    <col min="10" max="10" width="13.28125" style="0" customWidth="1"/>
    <col min="11" max="11" width="12.00390625" style="0" customWidth="1"/>
  </cols>
  <sheetData>
    <row r="1" spans="1:11" ht="23.25">
      <c r="A1" s="1" t="s">
        <v>39</v>
      </c>
      <c r="B1" s="1"/>
      <c r="C1" s="1"/>
      <c r="D1" s="46"/>
      <c r="E1" s="46"/>
      <c r="F1" s="46"/>
      <c r="G1" s="46"/>
      <c r="H1" s="46"/>
      <c r="I1" s="46"/>
      <c r="J1" s="46"/>
      <c r="K1" s="46"/>
    </row>
    <row r="2" spans="1:11" ht="18">
      <c r="A2" s="2" t="s">
        <v>40</v>
      </c>
      <c r="B2" s="2"/>
      <c r="C2" s="2"/>
      <c r="D2" s="46"/>
      <c r="E2" s="46"/>
      <c r="F2" s="46"/>
      <c r="G2" s="46"/>
      <c r="H2" s="46"/>
      <c r="I2" s="46"/>
      <c r="J2" s="46"/>
      <c r="K2" s="46"/>
    </row>
    <row r="3" spans="1:11" ht="18.75" thickBot="1">
      <c r="A3" s="2" t="s">
        <v>41</v>
      </c>
      <c r="B3" s="2"/>
      <c r="C3" s="2"/>
      <c r="D3" s="46"/>
      <c r="E3" s="46"/>
      <c r="F3" s="46"/>
      <c r="G3" s="46"/>
      <c r="H3" s="46"/>
      <c r="I3" s="46"/>
      <c r="J3" s="46"/>
      <c r="K3" s="46"/>
    </row>
    <row r="4" spans="1:11" ht="18.75" thickBot="1">
      <c r="A4" s="2"/>
      <c r="B4" s="164" t="s">
        <v>129</v>
      </c>
      <c r="C4" s="164" t="s">
        <v>130</v>
      </c>
      <c r="F4" s="46" t="s">
        <v>12</v>
      </c>
      <c r="G4" s="46"/>
      <c r="H4" s="46" t="s">
        <v>12</v>
      </c>
      <c r="I4" s="46"/>
      <c r="J4" s="46"/>
      <c r="K4" s="46"/>
    </row>
    <row r="5" spans="1:11" ht="15.75" thickBot="1">
      <c r="A5" s="156" t="s">
        <v>127</v>
      </c>
      <c r="B5" s="159">
        <f>CLASS_1_PRiCE</f>
        <v>0</v>
      </c>
      <c r="C5" s="160">
        <f>CLASS2_PRICE</f>
        <v>0</v>
      </c>
      <c r="F5" s="128"/>
      <c r="G5" s="128"/>
      <c r="H5" s="4"/>
      <c r="I5" s="4"/>
      <c r="J5" s="8"/>
      <c r="K5" s="4"/>
    </row>
    <row r="6" spans="1:11" ht="15.75" thickBot="1">
      <c r="A6" s="156" t="s">
        <v>128</v>
      </c>
      <c r="B6" s="158">
        <f>INPUT!B8</f>
        <v>0</v>
      </c>
      <c r="C6" s="157">
        <f>BF_DIFF</f>
        <v>0</v>
      </c>
      <c r="F6" s="155"/>
      <c r="G6" s="155"/>
      <c r="H6" s="4"/>
      <c r="I6" s="4"/>
      <c r="J6" s="8"/>
      <c r="K6" s="4"/>
    </row>
    <row r="7" spans="1:11" ht="15.75" thickBot="1">
      <c r="A7" s="4"/>
      <c r="B7" s="4"/>
      <c r="C7" s="4"/>
      <c r="D7" s="14"/>
      <c r="E7" s="14"/>
      <c r="F7" s="14"/>
      <c r="G7" s="14"/>
      <c r="H7" s="4"/>
      <c r="I7" s="4"/>
      <c r="J7" s="9"/>
      <c r="K7" s="4"/>
    </row>
    <row r="8" spans="1:11" ht="15">
      <c r="A8" s="4"/>
      <c r="B8" s="3" t="s">
        <v>99</v>
      </c>
      <c r="C8" s="3" t="s">
        <v>42</v>
      </c>
      <c r="D8" s="3" t="s">
        <v>26</v>
      </c>
      <c r="E8" s="3" t="s">
        <v>42</v>
      </c>
      <c r="F8" s="3" t="s">
        <v>26</v>
      </c>
      <c r="G8" s="3" t="s">
        <v>61</v>
      </c>
      <c r="H8" s="3" t="s">
        <v>43</v>
      </c>
      <c r="I8" s="3" t="s">
        <v>97</v>
      </c>
      <c r="J8" s="3" t="s">
        <v>44</v>
      </c>
      <c r="K8" s="3" t="s">
        <v>43</v>
      </c>
    </row>
    <row r="9" spans="1:11" ht="15.75" thickBot="1">
      <c r="A9" s="4"/>
      <c r="B9" s="5" t="s">
        <v>131</v>
      </c>
      <c r="C9" s="5" t="s">
        <v>131</v>
      </c>
      <c r="D9" s="5" t="s">
        <v>131</v>
      </c>
      <c r="E9" s="5" t="s">
        <v>132</v>
      </c>
      <c r="F9" s="5" t="s">
        <v>132</v>
      </c>
      <c r="G9" s="5" t="s">
        <v>132</v>
      </c>
      <c r="H9" s="5" t="s">
        <v>45</v>
      </c>
      <c r="I9" s="5" t="s">
        <v>46</v>
      </c>
      <c r="J9" s="5" t="s">
        <v>47</v>
      </c>
      <c r="K9" s="5" t="s">
        <v>45</v>
      </c>
    </row>
    <row r="10" spans="1:11" ht="15.75" thickBot="1">
      <c r="A10" s="6" t="s">
        <v>23</v>
      </c>
      <c r="B10" s="208">
        <v>91895930</v>
      </c>
      <c r="C10" s="209">
        <v>3034974</v>
      </c>
      <c r="D10" s="163">
        <f>B10-C10</f>
        <v>88860956</v>
      </c>
      <c r="E10" s="163">
        <f aca="true" t="shared" si="0" ref="E10:E17">ROUND(C10*$B$6,0)</f>
        <v>0</v>
      </c>
      <c r="F10" s="163">
        <f aca="true" t="shared" si="1" ref="F10:F17">ROUND(D10*$B$5/100,0)</f>
        <v>0</v>
      </c>
      <c r="G10" s="163">
        <f>F10+E10</f>
        <v>0</v>
      </c>
      <c r="H10" s="11">
        <f>ROUND(G10/B10,4)</f>
        <v>0</v>
      </c>
      <c r="I10" s="44">
        <f>INPUT!B66</f>
        <v>0.001</v>
      </c>
      <c r="J10" s="11">
        <f>+INPUT!B39</f>
        <v>0</v>
      </c>
      <c r="K10" s="129">
        <f aca="true" t="shared" si="2" ref="K10:K22">ROUND(SUM(H10:J10),4)</f>
        <v>0.001</v>
      </c>
    </row>
    <row r="11" spans="1:11" ht="15.75" thickBot="1">
      <c r="A11" s="6" t="s">
        <v>48</v>
      </c>
      <c r="B11" s="210">
        <v>77183072</v>
      </c>
      <c r="C11" s="211">
        <v>1490055</v>
      </c>
      <c r="D11" s="161">
        <f aca="true" t="shared" si="3" ref="D11:D22">B11-C11</f>
        <v>75693017</v>
      </c>
      <c r="E11" s="161">
        <f t="shared" si="0"/>
        <v>0</v>
      </c>
      <c r="F11" s="161">
        <f t="shared" si="1"/>
        <v>0</v>
      </c>
      <c r="G11" s="161">
        <f aca="true" t="shared" si="4" ref="G11:G22">F11+E11</f>
        <v>0</v>
      </c>
      <c r="H11" s="10">
        <f aca="true" t="shared" si="5" ref="H11:H22">ROUND(G11/B11,4)</f>
        <v>0</v>
      </c>
      <c r="I11" s="44">
        <f>INPUT!B67</f>
        <v>0.001</v>
      </c>
      <c r="J11" s="10">
        <f>+INPUT!B40</f>
        <v>0.0001</v>
      </c>
      <c r="K11" s="7">
        <f t="shared" si="2"/>
        <v>0.0011</v>
      </c>
    </row>
    <row r="12" spans="1:11" ht="15.75" thickBot="1">
      <c r="A12" s="6" t="s">
        <v>49</v>
      </c>
      <c r="B12" s="210">
        <v>20784223</v>
      </c>
      <c r="C12" s="211">
        <v>199768</v>
      </c>
      <c r="D12" s="161">
        <f t="shared" si="3"/>
        <v>20584455</v>
      </c>
      <c r="E12" s="161">
        <f t="shared" si="0"/>
        <v>0</v>
      </c>
      <c r="F12" s="161">
        <f t="shared" si="1"/>
        <v>0</v>
      </c>
      <c r="G12" s="161">
        <f t="shared" si="4"/>
        <v>0</v>
      </c>
      <c r="H12" s="10">
        <f t="shared" si="5"/>
        <v>0</v>
      </c>
      <c r="I12" s="44">
        <f>INPUT!B68</f>
        <v>0.001</v>
      </c>
      <c r="J12" s="10">
        <f>+INPUT!B41</f>
        <v>0.0001</v>
      </c>
      <c r="K12" s="7">
        <f t="shared" si="2"/>
        <v>0.0011</v>
      </c>
    </row>
    <row r="13" spans="1:11" ht="15.75" thickBot="1">
      <c r="A13" s="6" t="s">
        <v>50</v>
      </c>
      <c r="B13" s="210">
        <v>10175422</v>
      </c>
      <c r="C13" s="211">
        <v>8627</v>
      </c>
      <c r="D13" s="161">
        <f t="shared" si="3"/>
        <v>10166795</v>
      </c>
      <c r="E13" s="161">
        <f t="shared" si="0"/>
        <v>0</v>
      </c>
      <c r="F13" s="161">
        <f t="shared" si="1"/>
        <v>0</v>
      </c>
      <c r="G13" s="161">
        <f t="shared" si="4"/>
        <v>0</v>
      </c>
      <c r="H13" s="10">
        <f t="shared" si="5"/>
        <v>0</v>
      </c>
      <c r="I13" s="44">
        <f>INPUT!B69</f>
        <v>0.001</v>
      </c>
      <c r="J13" s="10">
        <f>+INPUT!B42</f>
        <v>0.0033</v>
      </c>
      <c r="K13" s="7">
        <f t="shared" si="2"/>
        <v>0.0043</v>
      </c>
    </row>
    <row r="14" spans="1:11" ht="15.75" thickBot="1">
      <c r="A14" s="6" t="s">
        <v>27</v>
      </c>
      <c r="B14" s="210">
        <v>10003046</v>
      </c>
      <c r="C14" s="211">
        <v>315680</v>
      </c>
      <c r="D14" s="161">
        <f t="shared" si="3"/>
        <v>9687366</v>
      </c>
      <c r="E14" s="161">
        <f t="shared" si="0"/>
        <v>0</v>
      </c>
      <c r="F14" s="161">
        <f t="shared" si="1"/>
        <v>0</v>
      </c>
      <c r="G14" s="161">
        <f t="shared" si="4"/>
        <v>0</v>
      </c>
      <c r="H14" s="10">
        <f t="shared" si="5"/>
        <v>0</v>
      </c>
      <c r="I14" s="44">
        <f>INPUT!B70</f>
        <v>0.001</v>
      </c>
      <c r="J14" s="10">
        <f>INPUT!B26</f>
        <v>0</v>
      </c>
      <c r="K14" s="7">
        <f t="shared" si="2"/>
        <v>0.001</v>
      </c>
    </row>
    <row r="15" spans="1:11" ht="15.75" thickBot="1">
      <c r="A15" s="6" t="s">
        <v>51</v>
      </c>
      <c r="B15" s="210">
        <v>8945757</v>
      </c>
      <c r="C15" s="211">
        <v>106541</v>
      </c>
      <c r="D15" s="161">
        <f t="shared" si="3"/>
        <v>8839216</v>
      </c>
      <c r="E15" s="161">
        <f t="shared" si="0"/>
        <v>0</v>
      </c>
      <c r="F15" s="161">
        <f t="shared" si="1"/>
        <v>0</v>
      </c>
      <c r="G15" s="161">
        <f t="shared" si="4"/>
        <v>0</v>
      </c>
      <c r="H15" s="10">
        <f t="shared" si="5"/>
        <v>0</v>
      </c>
      <c r="I15" s="44">
        <f>INPUT!B71</f>
        <v>0.001</v>
      </c>
      <c r="J15" s="10">
        <f>INPUT!B27</f>
        <v>0</v>
      </c>
      <c r="K15" s="7">
        <f t="shared" si="2"/>
        <v>0.001</v>
      </c>
    </row>
    <row r="16" spans="1:11" ht="15.75" thickBot="1">
      <c r="A16" s="6" t="s">
        <v>166</v>
      </c>
      <c r="B16" s="210">
        <v>9141069</v>
      </c>
      <c r="C16" s="211">
        <v>11330</v>
      </c>
      <c r="D16" s="161">
        <f t="shared" si="3"/>
        <v>9129739</v>
      </c>
      <c r="E16" s="161">
        <f t="shared" si="0"/>
        <v>0</v>
      </c>
      <c r="F16" s="161">
        <f t="shared" si="1"/>
        <v>0</v>
      </c>
      <c r="G16" s="161">
        <f t="shared" si="4"/>
        <v>0</v>
      </c>
      <c r="H16" s="10">
        <f t="shared" si="5"/>
        <v>0</v>
      </c>
      <c r="I16" s="44">
        <f>INPUT!B72</f>
        <v>0.001</v>
      </c>
      <c r="J16" s="10">
        <f>INPUT!B43</f>
        <v>0</v>
      </c>
      <c r="K16" s="7">
        <f t="shared" si="2"/>
        <v>0.001</v>
      </c>
    </row>
    <row r="17" spans="1:11" ht="15.75" thickBot="1">
      <c r="A17" s="6" t="s">
        <v>29</v>
      </c>
      <c r="B17" s="210">
        <v>29054</v>
      </c>
      <c r="C17" s="211">
        <v>291</v>
      </c>
      <c r="D17" s="161">
        <f t="shared" si="3"/>
        <v>28763</v>
      </c>
      <c r="E17" s="161">
        <f t="shared" si="0"/>
        <v>0</v>
      </c>
      <c r="F17" s="161">
        <f t="shared" si="1"/>
        <v>0</v>
      </c>
      <c r="G17" s="161">
        <f t="shared" si="4"/>
        <v>0</v>
      </c>
      <c r="H17" s="10">
        <f t="shared" si="5"/>
        <v>0</v>
      </c>
      <c r="I17" s="44">
        <f>INPUT!B73</f>
        <v>0.001</v>
      </c>
      <c r="J17" s="10">
        <f>INPUT!B44</f>
        <v>0.0488</v>
      </c>
      <c r="K17" s="7">
        <f t="shared" si="2"/>
        <v>0.0498</v>
      </c>
    </row>
    <row r="18" spans="1:11" ht="15.75" thickBot="1">
      <c r="A18" s="6" t="s">
        <v>155</v>
      </c>
      <c r="B18" s="210">
        <v>571959</v>
      </c>
      <c r="C18" s="211">
        <v>37621</v>
      </c>
      <c r="D18" s="161">
        <f>B18-C18</f>
        <v>534338</v>
      </c>
      <c r="E18" s="161">
        <f>ROUND(C18*$B$6,0)</f>
        <v>0</v>
      </c>
      <c r="F18" s="161">
        <f>ROUND(D18*$B$5/100,0)</f>
        <v>0</v>
      </c>
      <c r="G18" s="161">
        <f>F18+E18</f>
        <v>0</v>
      </c>
      <c r="H18" s="10">
        <f>ROUND(G18/B18,4)</f>
        <v>0</v>
      </c>
      <c r="I18" s="44">
        <f>INPUT!B74</f>
        <v>0.001</v>
      </c>
      <c r="J18" s="10">
        <f>INPUT!B45</f>
        <v>0.3309</v>
      </c>
      <c r="K18" s="7">
        <f>ROUND(SUM(H18:J18),4)</f>
        <v>0.3319</v>
      </c>
    </row>
    <row r="19" spans="1:11" ht="15.75" thickBot="1">
      <c r="A19" s="6" t="s">
        <v>52</v>
      </c>
      <c r="B19" s="210">
        <v>100000</v>
      </c>
      <c r="C19" s="211">
        <v>10500</v>
      </c>
      <c r="D19" s="161">
        <f t="shared" si="3"/>
        <v>89500</v>
      </c>
      <c r="E19" s="161">
        <f>ROUND(C19*$C$6,0)</f>
        <v>0</v>
      </c>
      <c r="F19" s="161">
        <f>ROUND(D19*$C$5/100,0)</f>
        <v>0</v>
      </c>
      <c r="G19" s="161">
        <f t="shared" si="4"/>
        <v>0</v>
      </c>
      <c r="H19" s="10">
        <f t="shared" si="5"/>
        <v>0</v>
      </c>
      <c r="I19" s="10"/>
      <c r="J19" s="10"/>
      <c r="K19" s="10">
        <f t="shared" si="2"/>
        <v>0</v>
      </c>
    </row>
    <row r="20" spans="1:11" ht="15.75" thickBot="1">
      <c r="A20" s="6" t="s">
        <v>53</v>
      </c>
      <c r="B20" s="210">
        <v>100000</v>
      </c>
      <c r="C20" s="211">
        <v>18000</v>
      </c>
      <c r="D20" s="161">
        <f t="shared" si="3"/>
        <v>82000</v>
      </c>
      <c r="E20" s="161">
        <f>ROUND(C20*$C$6,0)</f>
        <v>0</v>
      </c>
      <c r="F20" s="161">
        <f>ROUND(D20*$C$5/100,0)</f>
        <v>0</v>
      </c>
      <c r="G20" s="161">
        <f t="shared" si="4"/>
        <v>0</v>
      </c>
      <c r="H20" s="10">
        <f t="shared" si="5"/>
        <v>0</v>
      </c>
      <c r="I20" s="162"/>
      <c r="J20" s="10"/>
      <c r="K20" s="10">
        <f t="shared" si="2"/>
        <v>0</v>
      </c>
    </row>
    <row r="21" spans="1:11" ht="15.75" thickBot="1">
      <c r="A21" s="6" t="s">
        <v>54</v>
      </c>
      <c r="B21" s="210">
        <v>100000</v>
      </c>
      <c r="C21" s="211">
        <v>30000</v>
      </c>
      <c r="D21" s="161">
        <f t="shared" si="3"/>
        <v>70000</v>
      </c>
      <c r="E21" s="161">
        <f>ROUND(C21*$C$6,0)</f>
        <v>0</v>
      </c>
      <c r="F21" s="161">
        <f>ROUND(D21*$C$5/100,0)</f>
        <v>0</v>
      </c>
      <c r="G21" s="161">
        <f t="shared" si="4"/>
        <v>0</v>
      </c>
      <c r="H21" s="10">
        <f t="shared" si="5"/>
        <v>0</v>
      </c>
      <c r="I21" s="10"/>
      <c r="J21" s="10"/>
      <c r="K21" s="10">
        <f t="shared" si="2"/>
        <v>0</v>
      </c>
    </row>
    <row r="22" spans="1:11" ht="15.75" thickBot="1">
      <c r="A22" s="6" t="s">
        <v>55</v>
      </c>
      <c r="B22" s="210">
        <v>100000</v>
      </c>
      <c r="C22" s="211">
        <v>36000</v>
      </c>
      <c r="D22" s="161">
        <f t="shared" si="3"/>
        <v>64000</v>
      </c>
      <c r="E22" s="161">
        <f>ROUND(C22*$C$6,0)</f>
        <v>0</v>
      </c>
      <c r="F22" s="161">
        <f>ROUND(D22*$C$5/100,0)</f>
        <v>0</v>
      </c>
      <c r="G22" s="161">
        <f t="shared" si="4"/>
        <v>0</v>
      </c>
      <c r="H22" s="10">
        <f t="shared" si="5"/>
        <v>0</v>
      </c>
      <c r="I22" s="10"/>
      <c r="J22" s="10"/>
      <c r="K22" s="10">
        <f t="shared" si="2"/>
        <v>0</v>
      </c>
    </row>
    <row r="23" spans="4:7" ht="14.25">
      <c r="D23" s="45"/>
      <c r="E23" s="45"/>
      <c r="F23" s="45"/>
      <c r="G23" s="45"/>
    </row>
  </sheetData>
  <sheetProtection/>
  <printOptions/>
  <pageMargins left="0.75" right="0.75" top="1" bottom="1" header="0.5" footer="0.5"/>
  <pageSetup fitToHeight="1" fitToWidth="1" horizontalDpi="300" verticalDpi="3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6"/>
  <sheetViews>
    <sheetView zoomScalePageLayoutView="0" workbookViewId="0" topLeftCell="A1">
      <selection activeCell="F10" sqref="F10:F18"/>
    </sheetView>
  </sheetViews>
  <sheetFormatPr defaultColWidth="9.140625" defaultRowHeight="12.75"/>
  <cols>
    <col min="1" max="1" width="31.00390625" style="0" customWidth="1"/>
    <col min="2" max="2" width="13.140625" style="0" customWidth="1"/>
    <col min="3" max="3" width="10.57421875" style="0" customWidth="1"/>
    <col min="4" max="5" width="11.7109375" style="0" customWidth="1"/>
    <col min="6" max="6" width="13.28125" style="0" customWidth="1"/>
    <col min="7" max="7" width="7.140625" style="0" customWidth="1"/>
  </cols>
  <sheetData>
    <row r="1" spans="1:7" ht="12.75">
      <c r="A1" s="15" t="s">
        <v>39</v>
      </c>
      <c r="B1" s="15"/>
      <c r="C1" s="15"/>
      <c r="D1" s="15"/>
      <c r="E1" s="15"/>
      <c r="F1" s="15"/>
      <c r="G1" s="15"/>
    </row>
    <row r="2" spans="1:7" ht="12.75">
      <c r="A2" s="15" t="s">
        <v>56</v>
      </c>
      <c r="B2" s="15"/>
      <c r="C2" s="15"/>
      <c r="D2" s="15"/>
      <c r="E2" s="15"/>
      <c r="F2" s="15"/>
      <c r="G2" s="15"/>
    </row>
    <row r="3" spans="1:7" ht="13.5" thickBot="1">
      <c r="A3" s="15"/>
      <c r="B3" s="15"/>
      <c r="C3" s="15"/>
      <c r="D3" s="15"/>
      <c r="E3" s="15"/>
      <c r="F3" s="15"/>
      <c r="G3" s="15"/>
    </row>
    <row r="4" spans="2:7" ht="13.5" thickTop="1">
      <c r="B4" s="16" t="s">
        <v>57</v>
      </c>
      <c r="C4" s="16" t="s">
        <v>58</v>
      </c>
      <c r="D4" s="16" t="s">
        <v>59</v>
      </c>
      <c r="E4" s="16" t="s">
        <v>159</v>
      </c>
      <c r="F4" s="16" t="s">
        <v>60</v>
      </c>
      <c r="G4" s="16" t="s">
        <v>61</v>
      </c>
    </row>
    <row r="5" spans="2:7" ht="13.5" thickBot="1">
      <c r="B5" s="17" t="s">
        <v>62</v>
      </c>
      <c r="C5" s="17" t="s">
        <v>47</v>
      </c>
      <c r="D5" s="17" t="s">
        <v>47</v>
      </c>
      <c r="E5" s="17" t="s">
        <v>47</v>
      </c>
      <c r="F5" s="17" t="s">
        <v>47</v>
      </c>
      <c r="G5" s="17" t="s">
        <v>47</v>
      </c>
    </row>
    <row r="6" spans="2:7" ht="14.25" thickBot="1" thickTop="1">
      <c r="B6" s="130"/>
      <c r="C6" s="116"/>
      <c r="D6" s="116"/>
      <c r="E6" s="116"/>
      <c r="F6" s="116"/>
      <c r="G6" s="116"/>
    </row>
    <row r="7" spans="1:7" ht="14.25" thickBot="1" thickTop="1">
      <c r="A7" s="18" t="s">
        <v>23</v>
      </c>
      <c r="B7" s="25"/>
      <c r="C7" s="26"/>
      <c r="D7" s="26"/>
      <c r="E7" s="26"/>
      <c r="F7" s="26"/>
      <c r="G7" s="26"/>
    </row>
    <row r="8" spans="1:7" ht="13.5" thickTop="1">
      <c r="A8" s="24" t="s">
        <v>14</v>
      </c>
      <c r="B8" s="28">
        <v>8.6</v>
      </c>
      <c r="C8" s="23">
        <f>ROUND(B8*RAW!$K$10,4)</f>
        <v>0.0086</v>
      </c>
      <c r="D8" s="27">
        <f>INPUT!$B$15</f>
        <v>0</v>
      </c>
      <c r="E8" s="27">
        <f>E10*4</f>
        <v>0</v>
      </c>
      <c r="F8" s="23">
        <f>+F10*4</f>
        <v>1.19</v>
      </c>
      <c r="G8" s="27">
        <f>ROUND(SUM(C8:F8),4)</f>
        <v>1.1986</v>
      </c>
    </row>
    <row r="9" spans="1:7" ht="12.75">
      <c r="A9" s="24" t="s">
        <v>63</v>
      </c>
      <c r="B9" s="28">
        <v>4.3</v>
      </c>
      <c r="C9" s="23">
        <f>ROUND(B9*RAW!$K$10,4)</f>
        <v>0.0043</v>
      </c>
      <c r="D9" s="27">
        <f>INPUT!$B$16</f>
        <v>0</v>
      </c>
      <c r="E9" s="27">
        <f>E10*2</f>
        <v>0</v>
      </c>
      <c r="F9" s="23">
        <f>+F10*2</f>
        <v>0.595</v>
      </c>
      <c r="G9" s="27">
        <f aca="true" t="shared" si="0" ref="G9:G16">ROUND(SUM(C9:F9),4)</f>
        <v>0.5993</v>
      </c>
    </row>
    <row r="10" spans="1:7" ht="12.75">
      <c r="A10" s="24" t="s">
        <v>16</v>
      </c>
      <c r="B10" s="28">
        <v>2.15</v>
      </c>
      <c r="C10" s="23">
        <f>ROUND(B10*RAW!$K$10,4)</f>
        <v>0.0022</v>
      </c>
      <c r="D10" s="27">
        <f>INPUT!$B$17</f>
        <v>0</v>
      </c>
      <c r="E10" s="27">
        <f>INPUT!B$36</f>
        <v>0</v>
      </c>
      <c r="F10" s="23">
        <f>INPUT!$B$31</f>
        <v>0.2975</v>
      </c>
      <c r="G10" s="27">
        <f t="shared" si="0"/>
        <v>0.2997</v>
      </c>
    </row>
    <row r="11" spans="1:7" ht="12.75">
      <c r="A11" s="24" t="s">
        <v>17</v>
      </c>
      <c r="B11" s="28">
        <v>1.075</v>
      </c>
      <c r="C11" s="23">
        <f>ROUND(B11*RAW!$K$10,4)</f>
        <v>0.0011</v>
      </c>
      <c r="D11" s="27">
        <f>INPUT!$B$18</f>
        <v>0</v>
      </c>
      <c r="E11" s="27">
        <f>ROUND(E10/2,4)</f>
        <v>0</v>
      </c>
      <c r="F11" s="23">
        <f>ROUND($F$10/2,4)</f>
        <v>0.1488</v>
      </c>
      <c r="G11" s="27">
        <f t="shared" si="0"/>
        <v>0.1499</v>
      </c>
    </row>
    <row r="12" spans="1:7" ht="12.75">
      <c r="A12" s="19" t="s">
        <v>161</v>
      </c>
      <c r="B12" s="28">
        <f>1.2*B13</f>
        <v>0.80625</v>
      </c>
      <c r="C12" s="23">
        <f>ROUND(B12*RAW!$K$10,4)</f>
        <v>0.0008</v>
      </c>
      <c r="D12" s="27">
        <f>INPUT!$B$19</f>
        <v>0.063</v>
      </c>
      <c r="E12" s="27">
        <f>ROUND(E10/32*12,4)</f>
        <v>0</v>
      </c>
      <c r="F12" s="23">
        <f>ROUND($F$10/32*12,4)</f>
        <v>0.1116</v>
      </c>
      <c r="G12" s="27">
        <f t="shared" si="0"/>
        <v>0.1754</v>
      </c>
    </row>
    <row r="13" spans="1:7" ht="12.75">
      <c r="A13" s="24" t="s">
        <v>64</v>
      </c>
      <c r="B13" s="28">
        <v>0.671875</v>
      </c>
      <c r="C13" s="23">
        <f>ROUND(B13*RAW!$K$10,4)</f>
        <v>0.0007</v>
      </c>
      <c r="D13" s="27">
        <f>INPUT!$B$20</f>
        <v>0.0309</v>
      </c>
      <c r="E13" s="27">
        <f>ROUND(E10/32*10,4)</f>
        <v>0</v>
      </c>
      <c r="F13" s="23">
        <f>ROUND($F$10/32*10,4)</f>
        <v>0.093</v>
      </c>
      <c r="G13" s="27">
        <f t="shared" si="0"/>
        <v>0.1246</v>
      </c>
    </row>
    <row r="14" spans="1:7" ht="12.75">
      <c r="A14" s="24" t="s">
        <v>65</v>
      </c>
      <c r="B14" s="28">
        <v>0.5375</v>
      </c>
      <c r="C14" s="23">
        <f>ROUND(B14*RAW!$K$10,4)</f>
        <v>0.0005</v>
      </c>
      <c r="D14" s="27">
        <f>INPUT!$B$21</f>
        <v>0</v>
      </c>
      <c r="E14" s="27">
        <f>ROUND(E10/4,4)</f>
        <v>0</v>
      </c>
      <c r="F14" s="23">
        <f>ROUND($F$10/4,4)</f>
        <v>0.0744</v>
      </c>
      <c r="G14" s="27">
        <f t="shared" si="0"/>
        <v>0.0749</v>
      </c>
    </row>
    <row r="15" spans="1:7" ht="12.75">
      <c r="A15" s="24" t="s">
        <v>66</v>
      </c>
      <c r="B15" s="28">
        <v>0.26875</v>
      </c>
      <c r="C15" s="23">
        <f>ROUND(B15*RAW!$K$10,4)</f>
        <v>0.0003</v>
      </c>
      <c r="D15" s="27">
        <f>INPUT!$B$23</f>
        <v>0.0331</v>
      </c>
      <c r="E15" s="27">
        <f>ROUND(E10/32*4,4)</f>
        <v>0</v>
      </c>
      <c r="F15" s="23">
        <f>ROUND($F$10/8,4)</f>
        <v>0.0372</v>
      </c>
      <c r="G15" s="27">
        <f t="shared" si="0"/>
        <v>0.0706</v>
      </c>
    </row>
    <row r="16" spans="1:7" ht="13.5" thickBot="1">
      <c r="A16" s="24" t="s">
        <v>67</v>
      </c>
      <c r="B16" s="28">
        <v>2.15</v>
      </c>
      <c r="C16" s="23">
        <f>ROUND(B16*RAW!$K$10,4)</f>
        <v>0.0022</v>
      </c>
      <c r="D16" s="27">
        <f>INPUT!$B$24</f>
        <v>0.0738</v>
      </c>
      <c r="E16" s="27">
        <f>E10</f>
        <v>0</v>
      </c>
      <c r="F16" s="23">
        <f>ROUND($F$10,4)</f>
        <v>0.2975</v>
      </c>
      <c r="G16" s="27">
        <f t="shared" si="0"/>
        <v>0.3735</v>
      </c>
    </row>
    <row r="17" spans="1:2" ht="14.25" thickBot="1" thickTop="1">
      <c r="A17" s="18" t="s">
        <v>48</v>
      </c>
      <c r="B17" s="29"/>
    </row>
    <row r="18" spans="1:7" ht="13.5" thickTop="1">
      <c r="A18" s="20" t="s">
        <v>14</v>
      </c>
      <c r="B18" s="28">
        <v>8.62</v>
      </c>
      <c r="C18" s="27">
        <f>ROUND(B18*RAW!$K$11,4)</f>
        <v>0.0095</v>
      </c>
      <c r="D18" s="27">
        <f>INPUT!$B$15</f>
        <v>0</v>
      </c>
      <c r="E18" s="27">
        <f>E20*4</f>
        <v>0</v>
      </c>
      <c r="F18" s="23">
        <f>+F20*4</f>
        <v>1.19</v>
      </c>
      <c r="G18" s="27">
        <f>ROUND(SUM(C18:F18),4)</f>
        <v>1.1995</v>
      </c>
    </row>
    <row r="19" spans="1:7" ht="12.75">
      <c r="A19" s="19" t="s">
        <v>63</v>
      </c>
      <c r="B19" s="28">
        <v>4.31</v>
      </c>
      <c r="C19" s="27">
        <f>ROUND(B19*RAW!$K$11,4)</f>
        <v>0.0047</v>
      </c>
      <c r="D19" s="27">
        <f>INPUT!$B$16</f>
        <v>0</v>
      </c>
      <c r="E19" s="27">
        <f>E20*2</f>
        <v>0</v>
      </c>
      <c r="F19" s="23">
        <f>+F20*2</f>
        <v>0.595</v>
      </c>
      <c r="G19" s="27">
        <f aca="true" t="shared" si="1" ref="G19:G26">ROUND(SUM(C19:F19),4)</f>
        <v>0.5997</v>
      </c>
    </row>
    <row r="20" spans="1:7" ht="12.75">
      <c r="A20" s="19" t="s">
        <v>16</v>
      </c>
      <c r="B20" s="28">
        <v>2.155</v>
      </c>
      <c r="C20" s="27">
        <f>ROUND(B20*RAW!$K$11,4)</f>
        <v>0.0024</v>
      </c>
      <c r="D20" s="27">
        <f>INPUT!$B$17</f>
        <v>0</v>
      </c>
      <c r="E20" s="27">
        <f>INPUT!B$36</f>
        <v>0</v>
      </c>
      <c r="F20" s="23">
        <f>INPUT!$B$31</f>
        <v>0.2975</v>
      </c>
      <c r="G20" s="27">
        <f t="shared" si="1"/>
        <v>0.2999</v>
      </c>
    </row>
    <row r="21" spans="1:7" ht="12.75">
      <c r="A21" s="19" t="s">
        <v>17</v>
      </c>
      <c r="B21" s="28">
        <v>1.0775</v>
      </c>
      <c r="C21" s="27">
        <f>ROUND(B21*RAW!$K$11,4)</f>
        <v>0.0012</v>
      </c>
      <c r="D21" s="27">
        <f>INPUT!$B$18</f>
        <v>0</v>
      </c>
      <c r="E21" s="27">
        <f>ROUND(E20/2,4)</f>
        <v>0</v>
      </c>
      <c r="F21" s="23">
        <f>ROUND($F$10/2,4)</f>
        <v>0.1488</v>
      </c>
      <c r="G21" s="27">
        <f t="shared" si="1"/>
        <v>0.15</v>
      </c>
    </row>
    <row r="22" spans="1:7" ht="12.75">
      <c r="A22" s="19" t="s">
        <v>161</v>
      </c>
      <c r="B22" s="28">
        <f>1.2*B23</f>
        <v>0.8081256</v>
      </c>
      <c r="C22" s="27">
        <f>ROUND(B22*RAW!$K$11,4)</f>
        <v>0.0009</v>
      </c>
      <c r="D22" s="27">
        <f>INPUT!$B$19</f>
        <v>0.063</v>
      </c>
      <c r="E22" s="27">
        <f>ROUND(E20/32*12,4)</f>
        <v>0</v>
      </c>
      <c r="F22" s="23">
        <f>ROUND($F$10/32*12,4)</f>
        <v>0.1116</v>
      </c>
      <c r="G22" s="27">
        <f t="shared" si="1"/>
        <v>0.1755</v>
      </c>
    </row>
    <row r="23" spans="1:7" ht="12.75">
      <c r="A23" s="19" t="s">
        <v>64</v>
      </c>
      <c r="B23" s="28">
        <v>0.673438</v>
      </c>
      <c r="C23" s="27">
        <f>ROUND(B23*RAW!$K$11,4)</f>
        <v>0.0007</v>
      </c>
      <c r="D23" s="27">
        <f>INPUT!$B$20</f>
        <v>0.0309</v>
      </c>
      <c r="E23" s="27">
        <f>ROUND(E20/32*10,4)</f>
        <v>0</v>
      </c>
      <c r="F23" s="23">
        <f>ROUND($F$10/32*10,4)</f>
        <v>0.093</v>
      </c>
      <c r="G23" s="27">
        <f t="shared" si="1"/>
        <v>0.1246</v>
      </c>
    </row>
    <row r="24" spans="1:7" ht="12.75">
      <c r="A24" s="19" t="s">
        <v>65</v>
      </c>
      <c r="B24" s="28">
        <v>0.53875</v>
      </c>
      <c r="C24" s="27">
        <f>ROUND(B24*RAW!$K$11,4)</f>
        <v>0.0006</v>
      </c>
      <c r="D24" s="27">
        <f>INPUT!$B$21</f>
        <v>0</v>
      </c>
      <c r="E24" s="27">
        <f>ROUND(E20/4,4)</f>
        <v>0</v>
      </c>
      <c r="F24" s="23">
        <f>ROUND($F$10/4,4)</f>
        <v>0.0744</v>
      </c>
      <c r="G24" s="27">
        <f t="shared" si="1"/>
        <v>0.075</v>
      </c>
    </row>
    <row r="25" spans="1:7" ht="12.75">
      <c r="A25" s="19" t="s">
        <v>66</v>
      </c>
      <c r="B25" s="28">
        <v>0.269375</v>
      </c>
      <c r="C25" s="27">
        <f>ROUND(B25*RAW!$K$11,4)</f>
        <v>0.0003</v>
      </c>
      <c r="D25" s="27">
        <f>INPUT!$B$23</f>
        <v>0.0331</v>
      </c>
      <c r="E25" s="27">
        <f>ROUND(E20/32*4,4)</f>
        <v>0</v>
      </c>
      <c r="F25" s="23">
        <f>ROUND($F$10/8,4)</f>
        <v>0.0372</v>
      </c>
      <c r="G25" s="27">
        <f t="shared" si="1"/>
        <v>0.0706</v>
      </c>
    </row>
    <row r="26" spans="1:7" ht="13.5" thickBot="1">
      <c r="A26" s="21" t="s">
        <v>67</v>
      </c>
      <c r="B26" s="28">
        <v>2.155</v>
      </c>
      <c r="C26" s="27">
        <f>ROUND(B26*RAW!$K$11,4)</f>
        <v>0.0024</v>
      </c>
      <c r="D26" s="27">
        <f>INPUT!$B$24</f>
        <v>0.0738</v>
      </c>
      <c r="E26" s="27">
        <f>E20</f>
        <v>0</v>
      </c>
      <c r="F26" s="23">
        <f>ROUND($F$10,4)</f>
        <v>0.2975</v>
      </c>
      <c r="G26" s="27">
        <f t="shared" si="1"/>
        <v>0.3737</v>
      </c>
    </row>
    <row r="27" spans="1:2" ht="14.25" thickBot="1" thickTop="1">
      <c r="A27" s="18" t="s">
        <v>49</v>
      </c>
      <c r="B27" s="29"/>
    </row>
    <row r="28" spans="1:7" ht="13.5" thickTop="1">
      <c r="A28" s="20" t="s">
        <v>14</v>
      </c>
      <c r="B28" s="28">
        <v>8.62</v>
      </c>
      <c r="C28" s="27">
        <f>ROUND(B28*RAW!$K$12,4)</f>
        <v>0.0095</v>
      </c>
      <c r="D28" s="27">
        <f>INPUT!$B$15</f>
        <v>0</v>
      </c>
      <c r="E28" s="27">
        <f>E30*4</f>
        <v>0</v>
      </c>
      <c r="F28" s="23">
        <f>+F30*4</f>
        <v>1.19</v>
      </c>
      <c r="G28" s="27">
        <f>ROUND(SUM(C28:F28),4)</f>
        <v>1.1995</v>
      </c>
    </row>
    <row r="29" spans="1:7" ht="12.75">
      <c r="A29" s="19" t="s">
        <v>63</v>
      </c>
      <c r="B29" s="28">
        <v>4.31</v>
      </c>
      <c r="C29" s="27">
        <f>ROUND(B29*RAW!$K$12,4)</f>
        <v>0.0047</v>
      </c>
      <c r="D29" s="27">
        <f>INPUT!$B$16</f>
        <v>0</v>
      </c>
      <c r="E29" s="27">
        <f>E30*2</f>
        <v>0</v>
      </c>
      <c r="F29" s="23">
        <f>+F30*2</f>
        <v>0.595</v>
      </c>
      <c r="G29" s="27">
        <f aca="true" t="shared" si="2" ref="G29:G36">ROUND(SUM(C29:F29),4)</f>
        <v>0.5997</v>
      </c>
    </row>
    <row r="30" spans="1:7" ht="12.75">
      <c r="A30" s="19" t="s">
        <v>16</v>
      </c>
      <c r="B30" s="28">
        <v>2.155</v>
      </c>
      <c r="C30" s="27">
        <f>ROUND(B30*RAW!$K$12,4)</f>
        <v>0.0024</v>
      </c>
      <c r="D30" s="27">
        <f>INPUT!$B$17</f>
        <v>0</v>
      </c>
      <c r="E30" s="27">
        <f>INPUT!B$36</f>
        <v>0</v>
      </c>
      <c r="F30" s="23">
        <f>INPUT!$B$31</f>
        <v>0.2975</v>
      </c>
      <c r="G30" s="27">
        <f t="shared" si="2"/>
        <v>0.2999</v>
      </c>
    </row>
    <row r="31" spans="1:7" ht="12.75">
      <c r="A31" s="19" t="s">
        <v>17</v>
      </c>
      <c r="B31" s="28">
        <v>1.0775</v>
      </c>
      <c r="C31" s="27">
        <f>ROUND(B31*RAW!$K$12,4)</f>
        <v>0.0012</v>
      </c>
      <c r="D31" s="27">
        <f>INPUT!$B$18</f>
        <v>0</v>
      </c>
      <c r="E31" s="27">
        <f>ROUND(E30/2,4)</f>
        <v>0</v>
      </c>
      <c r="F31" s="23">
        <f>ROUND($F$10/2,4)</f>
        <v>0.1488</v>
      </c>
      <c r="G31" s="27">
        <f t="shared" si="2"/>
        <v>0.15</v>
      </c>
    </row>
    <row r="32" spans="1:7" ht="12.75">
      <c r="A32" s="19" t="s">
        <v>161</v>
      </c>
      <c r="B32" s="28">
        <f>1.2*B33</f>
        <v>0.8081256</v>
      </c>
      <c r="C32" s="27">
        <f>ROUND(B32*RAW!$K$12,4)</f>
        <v>0.0009</v>
      </c>
      <c r="D32" s="27">
        <f>INPUT!$B$19</f>
        <v>0.063</v>
      </c>
      <c r="E32" s="27">
        <f>ROUND(E30/32*12,4)</f>
        <v>0</v>
      </c>
      <c r="F32" s="23">
        <f>ROUND($F$10/32*12,4)</f>
        <v>0.1116</v>
      </c>
      <c r="G32" s="27">
        <f t="shared" si="2"/>
        <v>0.1755</v>
      </c>
    </row>
    <row r="33" spans="1:7" ht="12.75">
      <c r="A33" s="19" t="s">
        <v>64</v>
      </c>
      <c r="B33" s="28">
        <v>0.673438</v>
      </c>
      <c r="C33" s="27">
        <f>ROUND(B33*RAW!$K$12,4)</f>
        <v>0.0007</v>
      </c>
      <c r="D33" s="27">
        <f>INPUT!$B$20</f>
        <v>0.0309</v>
      </c>
      <c r="E33" s="27">
        <f>ROUND(E30/32*10,4)</f>
        <v>0</v>
      </c>
      <c r="F33" s="23">
        <f>ROUND($F$10/32*10,4)</f>
        <v>0.093</v>
      </c>
      <c r="G33" s="27">
        <f t="shared" si="2"/>
        <v>0.1246</v>
      </c>
    </row>
    <row r="34" spans="1:7" ht="12.75">
      <c r="A34" s="19" t="s">
        <v>65</v>
      </c>
      <c r="B34" s="28">
        <v>0.53875</v>
      </c>
      <c r="C34" s="27">
        <f>ROUND(B34*RAW!$K$12,4)</f>
        <v>0.0006</v>
      </c>
      <c r="D34" s="27">
        <f>INPUT!$B$21</f>
        <v>0</v>
      </c>
      <c r="E34" s="27">
        <f>ROUND(E30/4,4)</f>
        <v>0</v>
      </c>
      <c r="F34" s="23">
        <f>ROUND($F$10/4,4)</f>
        <v>0.0744</v>
      </c>
      <c r="G34" s="27">
        <f t="shared" si="2"/>
        <v>0.075</v>
      </c>
    </row>
    <row r="35" spans="1:7" ht="12.75">
      <c r="A35" s="19" t="s">
        <v>66</v>
      </c>
      <c r="B35" s="28">
        <v>0.269375</v>
      </c>
      <c r="C35" s="27">
        <f>ROUND(B35*RAW!$K$12,4)</f>
        <v>0.0003</v>
      </c>
      <c r="D35" s="27">
        <f>INPUT!$B$23</f>
        <v>0.0331</v>
      </c>
      <c r="E35" s="27">
        <f>ROUND(E30/32*4,4)</f>
        <v>0</v>
      </c>
      <c r="F35" s="23">
        <f>ROUND($F$10/8,4)</f>
        <v>0.0372</v>
      </c>
      <c r="G35" s="27">
        <f t="shared" si="2"/>
        <v>0.0706</v>
      </c>
    </row>
    <row r="36" spans="1:7" ht="13.5" thickBot="1">
      <c r="A36" s="21" t="s">
        <v>67</v>
      </c>
      <c r="B36" s="28">
        <v>2.155</v>
      </c>
      <c r="C36" s="27">
        <f>ROUND(B36*RAW!$K$12,4)</f>
        <v>0.0024</v>
      </c>
      <c r="D36" s="27">
        <f>INPUT!$B$24</f>
        <v>0.0738</v>
      </c>
      <c r="E36" s="27">
        <f>E30</f>
        <v>0</v>
      </c>
      <c r="F36" s="23">
        <f>ROUND($F$10,4)</f>
        <v>0.2975</v>
      </c>
      <c r="G36" s="27">
        <f t="shared" si="2"/>
        <v>0.3737</v>
      </c>
    </row>
    <row r="37" spans="1:2" ht="14.25" thickBot="1" thickTop="1">
      <c r="A37" s="18" t="s">
        <v>50</v>
      </c>
      <c r="B37" s="29"/>
    </row>
    <row r="38" spans="1:7" ht="13.5" thickTop="1">
      <c r="A38" s="20" t="s">
        <v>14</v>
      </c>
      <c r="B38" s="28">
        <v>8.63</v>
      </c>
      <c r="C38" s="23">
        <f>ROUND(B38*RAW!$K$13,4)</f>
        <v>0.0371</v>
      </c>
      <c r="D38" s="27">
        <f>INPUT!$B$15</f>
        <v>0</v>
      </c>
      <c r="E38" s="27">
        <f>E40*4</f>
        <v>0</v>
      </c>
      <c r="F38" s="23">
        <f>+F40*4</f>
        <v>1.19</v>
      </c>
      <c r="G38" s="27">
        <f>ROUND(SUM(C38:F38),4)</f>
        <v>1.2271</v>
      </c>
    </row>
    <row r="39" spans="1:7" ht="12.75">
      <c r="A39" s="19" t="s">
        <v>63</v>
      </c>
      <c r="B39" s="28">
        <v>4.315</v>
      </c>
      <c r="C39" s="23">
        <f>ROUND(B39*RAW!$K$13,4)</f>
        <v>0.0186</v>
      </c>
      <c r="D39" s="27">
        <f>INPUT!$B$16</f>
        <v>0</v>
      </c>
      <c r="E39" s="27">
        <f>E40*2</f>
        <v>0</v>
      </c>
      <c r="F39" s="23">
        <f>+F40*2</f>
        <v>0.595</v>
      </c>
      <c r="G39" s="27">
        <f aca="true" t="shared" si="3" ref="G39:G46">ROUND(SUM(C39:F39),4)</f>
        <v>0.6136</v>
      </c>
    </row>
    <row r="40" spans="1:7" ht="12.75">
      <c r="A40" s="19" t="s">
        <v>16</v>
      </c>
      <c r="B40" s="28">
        <v>2.1575</v>
      </c>
      <c r="C40" s="23">
        <f>ROUND(B40*RAW!$K$13,4)</f>
        <v>0.0093</v>
      </c>
      <c r="D40" s="27">
        <f>INPUT!$B$17</f>
        <v>0</v>
      </c>
      <c r="E40" s="27">
        <f>INPUT!B$36</f>
        <v>0</v>
      </c>
      <c r="F40" s="23">
        <f>INPUT!$B$31</f>
        <v>0.2975</v>
      </c>
      <c r="G40" s="27">
        <f t="shared" si="3"/>
        <v>0.3068</v>
      </c>
    </row>
    <row r="41" spans="1:7" ht="12.75">
      <c r="A41" s="19" t="s">
        <v>17</v>
      </c>
      <c r="B41" s="28">
        <v>1.07875</v>
      </c>
      <c r="C41" s="23">
        <f>ROUND(B41*RAW!$K$13,4)</f>
        <v>0.0046</v>
      </c>
      <c r="D41" s="27">
        <f>INPUT!$B$18</f>
        <v>0</v>
      </c>
      <c r="E41" s="27">
        <f>ROUND(E40/2,4)</f>
        <v>0</v>
      </c>
      <c r="F41" s="23">
        <f>ROUND($F$10/2,4)</f>
        <v>0.1488</v>
      </c>
      <c r="G41" s="27">
        <f t="shared" si="3"/>
        <v>0.1534</v>
      </c>
    </row>
    <row r="42" spans="1:7" ht="12.75">
      <c r="A42" s="19" t="s">
        <v>161</v>
      </c>
      <c r="B42" s="28">
        <f>1.2*B43</f>
        <v>0.8090628</v>
      </c>
      <c r="C42" s="23">
        <f>ROUND(B42*RAW!$K$13,4)</f>
        <v>0.0035</v>
      </c>
      <c r="D42" s="27">
        <f>INPUT!$B$19</f>
        <v>0.063</v>
      </c>
      <c r="E42" s="27">
        <f>ROUND(E40/32*12,4)</f>
        <v>0</v>
      </c>
      <c r="F42" s="23">
        <f>ROUND($F$10/32*12,4)</f>
        <v>0.1116</v>
      </c>
      <c r="G42" s="27">
        <f t="shared" si="3"/>
        <v>0.1781</v>
      </c>
    </row>
    <row r="43" spans="1:7" ht="12.75">
      <c r="A43" s="19" t="s">
        <v>64</v>
      </c>
      <c r="B43" s="28">
        <v>0.674219</v>
      </c>
      <c r="C43" s="23">
        <f>ROUND(B43*RAW!$K$13,4)</f>
        <v>0.0029</v>
      </c>
      <c r="D43" s="27">
        <f>INPUT!$B$20</f>
        <v>0.0309</v>
      </c>
      <c r="E43" s="27">
        <f>ROUND(E40/32*10,4)</f>
        <v>0</v>
      </c>
      <c r="F43" s="23">
        <f>ROUND($F$10/32*10,4)</f>
        <v>0.093</v>
      </c>
      <c r="G43" s="27">
        <f t="shared" si="3"/>
        <v>0.1268</v>
      </c>
    </row>
    <row r="44" spans="1:7" ht="12.75">
      <c r="A44" s="19" t="s">
        <v>65</v>
      </c>
      <c r="B44" s="28">
        <v>0.539375</v>
      </c>
      <c r="C44" s="23">
        <f>ROUND(B44*RAW!$K$13,4)</f>
        <v>0.0023</v>
      </c>
      <c r="D44" s="27">
        <f>INPUT!$B$21</f>
        <v>0</v>
      </c>
      <c r="E44" s="27">
        <f>ROUND(E40/4,4)</f>
        <v>0</v>
      </c>
      <c r="F44" s="23">
        <f>ROUND($F$10/4,4)</f>
        <v>0.0744</v>
      </c>
      <c r="G44" s="27">
        <f t="shared" si="3"/>
        <v>0.0767</v>
      </c>
    </row>
    <row r="45" spans="1:7" ht="12.75">
      <c r="A45" s="19" t="s">
        <v>66</v>
      </c>
      <c r="B45" s="28">
        <v>0.269688</v>
      </c>
      <c r="C45" s="23">
        <f>ROUND(B45*RAW!$K$13,4)</f>
        <v>0.0012</v>
      </c>
      <c r="D45" s="27">
        <f>INPUT!$B$23</f>
        <v>0.0331</v>
      </c>
      <c r="E45" s="27">
        <f>ROUND(E40/32*4,4)</f>
        <v>0</v>
      </c>
      <c r="F45" s="23">
        <f>ROUND($F$10/8,4)</f>
        <v>0.0372</v>
      </c>
      <c r="G45" s="27">
        <f t="shared" si="3"/>
        <v>0.0715</v>
      </c>
    </row>
    <row r="46" spans="1:7" ht="12.75">
      <c r="A46" s="19" t="s">
        <v>67</v>
      </c>
      <c r="B46" s="28">
        <v>2.1575</v>
      </c>
      <c r="C46" s="23">
        <f>ROUND(B46*RAW!$K$13,4)</f>
        <v>0.0093</v>
      </c>
      <c r="D46" s="27">
        <f>INPUT!$B$24</f>
        <v>0.0738</v>
      </c>
      <c r="E46" s="27">
        <f>E40</f>
        <v>0</v>
      </c>
      <c r="F46" s="23">
        <f>ROUND($F$10,4)</f>
        <v>0.2975</v>
      </c>
      <c r="G46" s="27">
        <f t="shared" si="3"/>
        <v>0.3806</v>
      </c>
    </row>
    <row r="47" spans="1:7" ht="13.5" thickBot="1">
      <c r="A47" s="131"/>
      <c r="B47" s="132"/>
      <c r="C47" s="122"/>
      <c r="D47" s="133"/>
      <c r="E47" s="133"/>
      <c r="F47" s="122"/>
      <c r="G47" s="133"/>
    </row>
    <row r="48" spans="1:2" ht="14.25" thickBot="1" thickTop="1">
      <c r="A48" s="18" t="s">
        <v>27</v>
      </c>
      <c r="B48" s="29"/>
    </row>
    <row r="49" spans="1:7" ht="13.5" thickTop="1">
      <c r="A49" s="20" t="s">
        <v>14</v>
      </c>
      <c r="B49" s="28">
        <v>8</v>
      </c>
      <c r="C49" s="27">
        <f>ROUND(B49*RAW!$K$14,4)</f>
        <v>0.008</v>
      </c>
      <c r="D49" s="27">
        <f>INPUT!$B$15</f>
        <v>0</v>
      </c>
      <c r="E49" s="27">
        <f>E51*4</f>
        <v>0</v>
      </c>
      <c r="F49" s="23">
        <f>+F51*4</f>
        <v>1.19</v>
      </c>
      <c r="G49" s="27">
        <f>ROUND(SUM(C49:F49),4)</f>
        <v>1.198</v>
      </c>
    </row>
    <row r="50" spans="1:7" ht="12.75">
      <c r="A50" s="19" t="s">
        <v>63</v>
      </c>
      <c r="B50" s="28">
        <v>4</v>
      </c>
      <c r="C50" s="27">
        <f>ROUND(B50*RAW!$K$14,4)</f>
        <v>0.004</v>
      </c>
      <c r="D50" s="27">
        <f>INPUT!$B$16</f>
        <v>0</v>
      </c>
      <c r="E50" s="27">
        <f>E51*2</f>
        <v>0</v>
      </c>
      <c r="F50" s="23">
        <f>+F51*2</f>
        <v>0.595</v>
      </c>
      <c r="G50" s="27">
        <f aca="true" t="shared" si="4" ref="G50:G57">ROUND(SUM(C50:F50),4)</f>
        <v>0.599</v>
      </c>
    </row>
    <row r="51" spans="1:7" ht="12.75">
      <c r="A51" s="19" t="s">
        <v>16</v>
      </c>
      <c r="B51" s="28">
        <v>2</v>
      </c>
      <c r="C51" s="27">
        <f>ROUND(B51*RAW!$K$14,4)</f>
        <v>0.002</v>
      </c>
      <c r="D51" s="27">
        <f>INPUT!$B$17</f>
        <v>0</v>
      </c>
      <c r="E51" s="27">
        <f>INPUT!B$36</f>
        <v>0</v>
      </c>
      <c r="F51" s="23">
        <f>INPUT!$B$31</f>
        <v>0.2975</v>
      </c>
      <c r="G51" s="27">
        <f t="shared" si="4"/>
        <v>0.2995</v>
      </c>
    </row>
    <row r="52" spans="1:7" ht="12.75">
      <c r="A52" s="19" t="s">
        <v>17</v>
      </c>
      <c r="B52" s="28">
        <v>1</v>
      </c>
      <c r="C52" s="27">
        <f>ROUND(B52*RAW!$K$14,4)</f>
        <v>0.001</v>
      </c>
      <c r="D52" s="27">
        <f>INPUT!$B$18</f>
        <v>0</v>
      </c>
      <c r="E52" s="27">
        <f>ROUND(E51/2,4)</f>
        <v>0</v>
      </c>
      <c r="F52" s="23">
        <f>ROUND($F$10/2,4)</f>
        <v>0.1488</v>
      </c>
      <c r="G52" s="27">
        <f t="shared" si="4"/>
        <v>0.1498</v>
      </c>
    </row>
    <row r="53" spans="1:7" ht="12.75">
      <c r="A53" s="19" t="s">
        <v>161</v>
      </c>
      <c r="B53" s="28">
        <f>1.2*B54</f>
        <v>0.75</v>
      </c>
      <c r="C53" s="27">
        <f>ROUND(B53*RAW!$K$14,4)</f>
        <v>0.0008</v>
      </c>
      <c r="D53" s="27">
        <f>INPUT!$B$19</f>
        <v>0.063</v>
      </c>
      <c r="E53" s="27">
        <f>ROUND(E51/32*12,4)</f>
        <v>0</v>
      </c>
      <c r="F53" s="23">
        <f>ROUND($F$10/32*12,4)</f>
        <v>0.1116</v>
      </c>
      <c r="G53" s="27">
        <f t="shared" si="4"/>
        <v>0.1754</v>
      </c>
    </row>
    <row r="54" spans="1:7" ht="12.75">
      <c r="A54" s="19" t="s">
        <v>64</v>
      </c>
      <c r="B54" s="28">
        <v>0.625</v>
      </c>
      <c r="C54" s="27">
        <f>ROUND(B54*RAW!$K$14,4)</f>
        <v>0.0006</v>
      </c>
      <c r="D54" s="27">
        <f>INPUT!$B$20</f>
        <v>0.0309</v>
      </c>
      <c r="E54" s="27">
        <f>ROUND(E51/32*10,4)</f>
        <v>0</v>
      </c>
      <c r="F54" s="23">
        <f>ROUND($F$10/32*10,4)</f>
        <v>0.093</v>
      </c>
      <c r="G54" s="27">
        <f t="shared" si="4"/>
        <v>0.1245</v>
      </c>
    </row>
    <row r="55" spans="1:7" ht="12.75">
      <c r="A55" s="19" t="s">
        <v>65</v>
      </c>
      <c r="B55" s="28">
        <v>0.5</v>
      </c>
      <c r="C55" s="27">
        <f>ROUND(B55*RAW!$K$14,4)</f>
        <v>0.0005</v>
      </c>
      <c r="D55" s="27">
        <f>INPUT!$B$21</f>
        <v>0</v>
      </c>
      <c r="E55" s="27">
        <f>ROUND(E51/4,4)</f>
        <v>0</v>
      </c>
      <c r="F55" s="23">
        <f>ROUND($F$10/4,4)</f>
        <v>0.0744</v>
      </c>
      <c r="G55" s="27">
        <f t="shared" si="4"/>
        <v>0.0749</v>
      </c>
    </row>
    <row r="56" spans="1:7" ht="12.75">
      <c r="A56" s="19" t="s">
        <v>66</v>
      </c>
      <c r="B56" s="28">
        <v>0.25</v>
      </c>
      <c r="C56" s="27">
        <f>ROUND(B56*RAW!$K$14,4)</f>
        <v>0.0003</v>
      </c>
      <c r="D56" s="27">
        <f>INPUT!$B$23</f>
        <v>0.0331</v>
      </c>
      <c r="E56" s="27">
        <f>ROUND(E51/32*4,4)</f>
        <v>0</v>
      </c>
      <c r="F56" s="23">
        <f>ROUND($F$10/8,4)</f>
        <v>0.0372</v>
      </c>
      <c r="G56" s="27">
        <f t="shared" si="4"/>
        <v>0.0706</v>
      </c>
    </row>
    <row r="57" spans="1:7" ht="13.5" thickBot="1">
      <c r="A57" s="21" t="s">
        <v>67</v>
      </c>
      <c r="B57" s="28">
        <v>2</v>
      </c>
      <c r="C57" s="27">
        <f>ROUND(B57*RAW!$K$14,4)</f>
        <v>0.002</v>
      </c>
      <c r="D57" s="27">
        <f>INPUT!$B$24</f>
        <v>0.0738</v>
      </c>
      <c r="E57" s="27">
        <f>E51</f>
        <v>0</v>
      </c>
      <c r="F57" s="23">
        <f>ROUND($F$10,4)</f>
        <v>0.2975</v>
      </c>
      <c r="G57" s="27">
        <f t="shared" si="4"/>
        <v>0.3733</v>
      </c>
    </row>
    <row r="58" spans="1:2" ht="14.25" thickBot="1" thickTop="1">
      <c r="A58" s="18" t="s">
        <v>51</v>
      </c>
      <c r="B58" s="29"/>
    </row>
    <row r="59" spans="1:7" ht="13.5" thickTop="1">
      <c r="A59" s="20" t="s">
        <v>14</v>
      </c>
      <c r="B59" s="28">
        <v>8</v>
      </c>
      <c r="C59" s="27">
        <f>ROUND(B59*RAW!$K$15,4)</f>
        <v>0.008</v>
      </c>
      <c r="D59" s="27">
        <f>INPUT!$B$15</f>
        <v>0</v>
      </c>
      <c r="E59" s="27">
        <f>E61*4</f>
        <v>0</v>
      </c>
      <c r="F59" s="23">
        <f>+F61*4</f>
        <v>1.19</v>
      </c>
      <c r="G59" s="27">
        <f>ROUND(SUM(C59:F59),4)</f>
        <v>1.198</v>
      </c>
    </row>
    <row r="60" spans="1:7" ht="12.75">
      <c r="A60" s="19" t="s">
        <v>63</v>
      </c>
      <c r="B60" s="28">
        <v>4</v>
      </c>
      <c r="C60" s="27">
        <f>ROUND(B60*RAW!$K$15,4)</f>
        <v>0.004</v>
      </c>
      <c r="D60" s="27">
        <f>INPUT!$B$16</f>
        <v>0</v>
      </c>
      <c r="E60" s="27">
        <f>E61*2</f>
        <v>0</v>
      </c>
      <c r="F60" s="23">
        <f>+F61*2</f>
        <v>0.595</v>
      </c>
      <c r="G60" s="27">
        <f aca="true" t="shared" si="5" ref="G60:G67">ROUND(SUM(C60:F60),4)</f>
        <v>0.599</v>
      </c>
    </row>
    <row r="61" spans="1:7" ht="12.75">
      <c r="A61" s="19" t="s">
        <v>16</v>
      </c>
      <c r="B61" s="28">
        <v>2</v>
      </c>
      <c r="C61" s="27">
        <f>ROUND(B61*RAW!$K$15,4)</f>
        <v>0.002</v>
      </c>
      <c r="D61" s="27">
        <f>INPUT!$B$17</f>
        <v>0</v>
      </c>
      <c r="E61" s="27">
        <f>INPUT!B$36</f>
        <v>0</v>
      </c>
      <c r="F61" s="23">
        <f>INPUT!$B$31</f>
        <v>0.2975</v>
      </c>
      <c r="G61" s="27">
        <f t="shared" si="5"/>
        <v>0.2995</v>
      </c>
    </row>
    <row r="62" spans="1:7" ht="12.75">
      <c r="A62" s="19" t="s">
        <v>17</v>
      </c>
      <c r="B62" s="28">
        <v>1</v>
      </c>
      <c r="C62" s="27">
        <f>ROUND(B62*RAW!$K$15,4)</f>
        <v>0.001</v>
      </c>
      <c r="D62" s="27">
        <f>INPUT!$B$18</f>
        <v>0</v>
      </c>
      <c r="E62" s="27">
        <f>ROUND(E61/2,4)</f>
        <v>0</v>
      </c>
      <c r="F62" s="23">
        <f>ROUND($F$10/2,4)</f>
        <v>0.1488</v>
      </c>
      <c r="G62" s="27">
        <f t="shared" si="5"/>
        <v>0.1498</v>
      </c>
    </row>
    <row r="63" spans="1:7" ht="12.75">
      <c r="A63" s="19" t="s">
        <v>161</v>
      </c>
      <c r="B63" s="28">
        <f>1.2*B64</f>
        <v>0.75</v>
      </c>
      <c r="C63" s="27">
        <f>ROUND(B63*RAW!$K$15,4)</f>
        <v>0.0008</v>
      </c>
      <c r="D63" s="27">
        <f>INPUT!$B$19</f>
        <v>0.063</v>
      </c>
      <c r="E63" s="27">
        <f>ROUND(E61/32*12,4)</f>
        <v>0</v>
      </c>
      <c r="F63" s="23">
        <f>ROUND($F$10/32*12,4)</f>
        <v>0.1116</v>
      </c>
      <c r="G63" s="27">
        <f t="shared" si="5"/>
        <v>0.1754</v>
      </c>
    </row>
    <row r="64" spans="1:7" ht="12.75">
      <c r="A64" s="19" t="s">
        <v>64</v>
      </c>
      <c r="B64" s="28">
        <v>0.625</v>
      </c>
      <c r="C64" s="27">
        <f>ROUND(B64*RAW!$K$15,4)</f>
        <v>0.0006</v>
      </c>
      <c r="D64" s="27">
        <f>INPUT!$B$20</f>
        <v>0.0309</v>
      </c>
      <c r="E64" s="27">
        <f>ROUND(E61/32*10,4)</f>
        <v>0</v>
      </c>
      <c r="F64" s="23">
        <f>ROUND($F$10/32*10,4)</f>
        <v>0.093</v>
      </c>
      <c r="G64" s="27">
        <f t="shared" si="5"/>
        <v>0.1245</v>
      </c>
    </row>
    <row r="65" spans="1:7" ht="12.75">
      <c r="A65" s="19" t="s">
        <v>65</v>
      </c>
      <c r="B65" s="28">
        <v>0.5</v>
      </c>
      <c r="C65" s="27">
        <f>ROUND(B65*RAW!$K$15,4)</f>
        <v>0.0005</v>
      </c>
      <c r="D65" s="27">
        <f>INPUT!$B$21</f>
        <v>0</v>
      </c>
      <c r="E65" s="27">
        <f>ROUND(E61/4,4)</f>
        <v>0</v>
      </c>
      <c r="F65" s="23">
        <f>ROUND($F$10/4,4)</f>
        <v>0.0744</v>
      </c>
      <c r="G65" s="27">
        <f t="shared" si="5"/>
        <v>0.0749</v>
      </c>
    </row>
    <row r="66" spans="1:7" ht="12.75">
      <c r="A66" s="19" t="s">
        <v>66</v>
      </c>
      <c r="B66" s="28">
        <v>0.25</v>
      </c>
      <c r="C66" s="27">
        <f>ROUND(B66*RAW!$K$15,4)</f>
        <v>0.0003</v>
      </c>
      <c r="D66" s="27">
        <f>INPUT!$B$23</f>
        <v>0.0331</v>
      </c>
      <c r="E66" s="27">
        <f>ROUND(E61/32*4,4)</f>
        <v>0</v>
      </c>
      <c r="F66" s="23">
        <f>ROUND($F$10/8,4)</f>
        <v>0.0372</v>
      </c>
      <c r="G66" s="27">
        <f t="shared" si="5"/>
        <v>0.0706</v>
      </c>
    </row>
    <row r="67" spans="1:7" ht="13.5" thickBot="1">
      <c r="A67" s="21" t="s">
        <v>67</v>
      </c>
      <c r="B67" s="28">
        <v>2</v>
      </c>
      <c r="C67" s="27">
        <f>ROUND(B67*RAW!$K$15,4)</f>
        <v>0.002</v>
      </c>
      <c r="D67" s="27">
        <f>INPUT!$B$24</f>
        <v>0.0738</v>
      </c>
      <c r="E67" s="27">
        <f>E61</f>
        <v>0</v>
      </c>
      <c r="F67" s="23">
        <f>ROUND($F$10,4)</f>
        <v>0.2975</v>
      </c>
      <c r="G67" s="27">
        <f t="shared" si="5"/>
        <v>0.3733</v>
      </c>
    </row>
    <row r="68" spans="1:2" ht="14.25" thickBot="1" thickTop="1">
      <c r="A68" s="18" t="s">
        <v>166</v>
      </c>
      <c r="B68" s="29"/>
    </row>
    <row r="69" spans="1:7" ht="13.5" thickTop="1">
      <c r="A69" s="20" t="s">
        <v>14</v>
      </c>
      <c r="B69" s="28">
        <v>8</v>
      </c>
      <c r="C69" s="27">
        <f>ROUND(B69*RAW!$K$16,4)</f>
        <v>0.008</v>
      </c>
      <c r="D69" s="27">
        <f>INPUT!$B$15</f>
        <v>0</v>
      </c>
      <c r="E69" s="27">
        <f>E71*4</f>
        <v>0</v>
      </c>
      <c r="F69" s="23">
        <f>+F71*4</f>
        <v>1.19</v>
      </c>
      <c r="G69" s="27">
        <f>ROUND(SUM(C69:F69),4)</f>
        <v>1.198</v>
      </c>
    </row>
    <row r="70" spans="1:7" ht="12.75">
      <c r="A70" s="19" t="s">
        <v>63</v>
      </c>
      <c r="B70" s="28">
        <v>4</v>
      </c>
      <c r="C70" s="27">
        <f>ROUND(B70*RAW!$K$16,4)</f>
        <v>0.004</v>
      </c>
      <c r="D70" s="27">
        <f>INPUT!$B$16</f>
        <v>0</v>
      </c>
      <c r="E70" s="27">
        <f>E71*2</f>
        <v>0</v>
      </c>
      <c r="F70" s="23">
        <f>+F71*2</f>
        <v>0.595</v>
      </c>
      <c r="G70" s="27">
        <f aca="true" t="shared" si="6" ref="G70:G77">ROUND(SUM(C70:F70),4)</f>
        <v>0.599</v>
      </c>
    </row>
    <row r="71" spans="1:7" ht="12.75">
      <c r="A71" s="19" t="s">
        <v>16</v>
      </c>
      <c r="B71" s="28">
        <v>2</v>
      </c>
      <c r="C71" s="27">
        <f>ROUND(B71*RAW!$K$16,4)</f>
        <v>0.002</v>
      </c>
      <c r="D71" s="27">
        <f>INPUT!$B$17</f>
        <v>0</v>
      </c>
      <c r="E71" s="27">
        <f>INPUT!B$36</f>
        <v>0</v>
      </c>
      <c r="F71" s="23">
        <f>INPUT!$B$31</f>
        <v>0.2975</v>
      </c>
      <c r="G71" s="27">
        <f t="shared" si="6"/>
        <v>0.2995</v>
      </c>
    </row>
    <row r="72" spans="1:7" ht="12.75">
      <c r="A72" s="19" t="s">
        <v>17</v>
      </c>
      <c r="B72" s="28">
        <v>1</v>
      </c>
      <c r="C72" s="27">
        <f>ROUND(B72*RAW!$K$16,4)</f>
        <v>0.001</v>
      </c>
      <c r="D72" s="27">
        <f>INPUT!$B$18</f>
        <v>0</v>
      </c>
      <c r="E72" s="27">
        <f>ROUND(E71/2,4)</f>
        <v>0</v>
      </c>
      <c r="F72" s="23">
        <f>ROUND($F$10/2,4)</f>
        <v>0.1488</v>
      </c>
      <c r="G72" s="27">
        <f t="shared" si="6"/>
        <v>0.1498</v>
      </c>
    </row>
    <row r="73" spans="1:7" ht="12.75">
      <c r="A73" s="19" t="s">
        <v>161</v>
      </c>
      <c r="B73" s="28">
        <f>1.2*B74</f>
        <v>0.75</v>
      </c>
      <c r="C73" s="27">
        <f>ROUND(B73*RAW!$K$16,4)</f>
        <v>0.0008</v>
      </c>
      <c r="D73" s="27">
        <f>INPUT!$B$19</f>
        <v>0.063</v>
      </c>
      <c r="E73" s="27">
        <f>ROUND(E71/32*12,4)</f>
        <v>0</v>
      </c>
      <c r="F73" s="23">
        <f>ROUND($F$10/32*12,4)</f>
        <v>0.1116</v>
      </c>
      <c r="G73" s="27">
        <f t="shared" si="6"/>
        <v>0.1754</v>
      </c>
    </row>
    <row r="74" spans="1:7" ht="12.75">
      <c r="A74" s="19" t="s">
        <v>64</v>
      </c>
      <c r="B74" s="28">
        <v>0.625</v>
      </c>
      <c r="C74" s="27">
        <f>ROUND(B74*RAW!$K$16,4)</f>
        <v>0.0006</v>
      </c>
      <c r="D74" s="27">
        <f>INPUT!$B$20</f>
        <v>0.0309</v>
      </c>
      <c r="E74" s="27">
        <f>ROUND(E71/32*10,4)</f>
        <v>0</v>
      </c>
      <c r="F74" s="23">
        <f>ROUND($F$10/32*10,4)</f>
        <v>0.093</v>
      </c>
      <c r="G74" s="27">
        <f t="shared" si="6"/>
        <v>0.1245</v>
      </c>
    </row>
    <row r="75" spans="1:7" ht="12.75">
      <c r="A75" s="19" t="s">
        <v>65</v>
      </c>
      <c r="B75" s="28">
        <v>0.5</v>
      </c>
      <c r="C75" s="27">
        <f>ROUND(B75*RAW!$K$16,4)</f>
        <v>0.0005</v>
      </c>
      <c r="D75" s="27">
        <f>INPUT!$B$21</f>
        <v>0</v>
      </c>
      <c r="E75" s="27">
        <f>ROUND(E71/4,4)</f>
        <v>0</v>
      </c>
      <c r="F75" s="23">
        <f>ROUND($F$10/4,4)</f>
        <v>0.0744</v>
      </c>
      <c r="G75" s="27">
        <f t="shared" si="6"/>
        <v>0.0749</v>
      </c>
    </row>
    <row r="76" spans="1:7" ht="12.75">
      <c r="A76" s="19" t="s">
        <v>66</v>
      </c>
      <c r="B76" s="28">
        <v>0.25</v>
      </c>
      <c r="C76" s="27">
        <f>ROUND(B76*RAW!$K$16,4)</f>
        <v>0.0003</v>
      </c>
      <c r="D76" s="27">
        <f>INPUT!$B$23</f>
        <v>0.0331</v>
      </c>
      <c r="E76" s="27">
        <f>ROUND(E71/32*4,4)</f>
        <v>0</v>
      </c>
      <c r="F76" s="23">
        <f>ROUND($F$10/8,4)</f>
        <v>0.0372</v>
      </c>
      <c r="G76" s="27">
        <f t="shared" si="6"/>
        <v>0.0706</v>
      </c>
    </row>
    <row r="77" spans="1:7" ht="13.5" thickBot="1">
      <c r="A77" s="21" t="s">
        <v>67</v>
      </c>
      <c r="B77" s="28">
        <v>2</v>
      </c>
      <c r="C77" s="27">
        <f>ROUND(B77*RAW!$K$16,4)</f>
        <v>0.002</v>
      </c>
      <c r="D77" s="27">
        <f>INPUT!$B$24</f>
        <v>0.0738</v>
      </c>
      <c r="E77" s="27">
        <f>E71</f>
        <v>0</v>
      </c>
      <c r="F77" s="23">
        <f>ROUND($F$10,4)</f>
        <v>0.2975</v>
      </c>
      <c r="G77" s="27">
        <f t="shared" si="6"/>
        <v>0.3733</v>
      </c>
    </row>
    <row r="78" spans="1:2" ht="14.25" thickBot="1" thickTop="1">
      <c r="A78" s="18" t="s">
        <v>29</v>
      </c>
      <c r="B78" s="29"/>
    </row>
    <row r="79" spans="1:7" ht="13.5" thickTop="1">
      <c r="A79" s="20" t="s">
        <v>14</v>
      </c>
      <c r="B79" s="28">
        <f>B80*2</f>
        <v>8.63</v>
      </c>
      <c r="C79" s="27">
        <f>ROUND(B79*RAW!$K$17,4)</f>
        <v>0.4298</v>
      </c>
      <c r="D79" s="27">
        <f>INPUT!$B$15</f>
        <v>0</v>
      </c>
      <c r="E79" s="27">
        <f>E81*4</f>
        <v>0</v>
      </c>
      <c r="F79" s="23">
        <f>+F81*4</f>
        <v>1.19</v>
      </c>
      <c r="G79" s="27">
        <f>ROUND(SUM(C79:F79),4)</f>
        <v>1.6198</v>
      </c>
    </row>
    <row r="80" spans="1:7" ht="12.75">
      <c r="A80" s="19" t="s">
        <v>63</v>
      </c>
      <c r="B80" s="28">
        <f>B81*2</f>
        <v>4.315</v>
      </c>
      <c r="C80" s="27">
        <f>ROUND(B80*RAW!$K$17,4)</f>
        <v>0.2149</v>
      </c>
      <c r="D80" s="27">
        <f>INPUT!$B$16</f>
        <v>0</v>
      </c>
      <c r="E80" s="27">
        <f>E81*2</f>
        <v>0</v>
      </c>
      <c r="F80" s="23">
        <f>+F81*2</f>
        <v>0.595</v>
      </c>
      <c r="G80" s="27">
        <f aca="true" t="shared" si="7" ref="G80:G87">ROUND(SUM(C80:F80),4)</f>
        <v>0.8099</v>
      </c>
    </row>
    <row r="81" spans="1:7" ht="12.75">
      <c r="A81" s="19" t="s">
        <v>16</v>
      </c>
      <c r="B81" s="28">
        <v>2.1575</v>
      </c>
      <c r="C81" s="27">
        <f>ROUND(B81*RAW!$K$17,4)</f>
        <v>0.1074</v>
      </c>
      <c r="D81" s="27">
        <f>INPUT!$B$17</f>
        <v>0</v>
      </c>
      <c r="E81" s="27">
        <f>INPUT!B$36</f>
        <v>0</v>
      </c>
      <c r="F81" s="23">
        <f>INPUT!$B$31</f>
        <v>0.2975</v>
      </c>
      <c r="G81" s="27">
        <f t="shared" si="7"/>
        <v>0.4049</v>
      </c>
    </row>
    <row r="82" spans="1:7" ht="12.75">
      <c r="A82" s="19" t="s">
        <v>17</v>
      </c>
      <c r="B82" s="28">
        <f>ROUND(B81/2,4)</f>
        <v>1.0788</v>
      </c>
      <c r="C82" s="27">
        <f>ROUND(B82*RAW!$K$17,4)</f>
        <v>0.0537</v>
      </c>
      <c r="D82" s="27">
        <f>INPUT!$B$18</f>
        <v>0</v>
      </c>
      <c r="E82" s="27">
        <f>ROUND(E81/2,4)</f>
        <v>0</v>
      </c>
      <c r="F82" s="23">
        <f>ROUND($F$10/2,4)</f>
        <v>0.1488</v>
      </c>
      <c r="G82" s="27">
        <f t="shared" si="7"/>
        <v>0.2025</v>
      </c>
    </row>
    <row r="83" spans="1:7" ht="12.75">
      <c r="A83" s="19" t="s">
        <v>161</v>
      </c>
      <c r="B83" s="28">
        <f>1.2*B84</f>
        <v>0.8090628</v>
      </c>
      <c r="C83" s="27">
        <f>ROUND(B83*RAW!$K$17,4)</f>
        <v>0.0403</v>
      </c>
      <c r="D83" s="27">
        <f>INPUT!$B$19</f>
        <v>0.063</v>
      </c>
      <c r="E83" s="27">
        <f>ROUND(E81/32*12,4)</f>
        <v>0</v>
      </c>
      <c r="F83" s="23">
        <f>ROUND($F$10/32*12,4)</f>
        <v>0.1116</v>
      </c>
      <c r="G83" s="27">
        <f t="shared" si="7"/>
        <v>0.2149</v>
      </c>
    </row>
    <row r="84" spans="1:7" ht="12.75">
      <c r="A84" s="19" t="s">
        <v>64</v>
      </c>
      <c r="B84" s="28">
        <f>ROUND(B81/32*10,6)</f>
        <v>0.674219</v>
      </c>
      <c r="C84" s="27">
        <f>ROUND(B84*RAW!$K$17,4)</f>
        <v>0.0336</v>
      </c>
      <c r="D84" s="27">
        <f>INPUT!$B$20</f>
        <v>0.0309</v>
      </c>
      <c r="E84" s="27">
        <f>ROUND(E81/32*10,4)</f>
        <v>0</v>
      </c>
      <c r="F84" s="23">
        <f>ROUND($F$10/32*10,4)</f>
        <v>0.093</v>
      </c>
      <c r="G84" s="27">
        <f t="shared" si="7"/>
        <v>0.1575</v>
      </c>
    </row>
    <row r="85" spans="1:7" ht="12.75">
      <c r="A85" s="19" t="s">
        <v>65</v>
      </c>
      <c r="B85" s="28">
        <f>ROUND(B82/2,6)</f>
        <v>0.5394</v>
      </c>
      <c r="C85" s="27">
        <f>ROUND(B85*RAW!$K$17,4)</f>
        <v>0.0269</v>
      </c>
      <c r="D85" s="27">
        <f>INPUT!$B$21</f>
        <v>0</v>
      </c>
      <c r="E85" s="27">
        <f>ROUND(E81/4,4)</f>
        <v>0</v>
      </c>
      <c r="F85" s="23">
        <f>ROUND($F$10/4,4)</f>
        <v>0.0744</v>
      </c>
      <c r="G85" s="27">
        <f t="shared" si="7"/>
        <v>0.1013</v>
      </c>
    </row>
    <row r="86" spans="1:7" ht="12.75">
      <c r="A86" s="19" t="s">
        <v>66</v>
      </c>
      <c r="B86" s="28">
        <f>ROUND(B85/2,4)</f>
        <v>0.2697</v>
      </c>
      <c r="C86" s="27">
        <f>ROUND(B86*RAW!$K$17,4)</f>
        <v>0.0134</v>
      </c>
      <c r="D86" s="27">
        <f>INPUT!$B$23</f>
        <v>0.0331</v>
      </c>
      <c r="E86" s="27">
        <f>ROUND(E81/32*4,4)</f>
        <v>0</v>
      </c>
      <c r="F86" s="23">
        <f>ROUND($F$10/8,4)</f>
        <v>0.0372</v>
      </c>
      <c r="G86" s="27">
        <f t="shared" si="7"/>
        <v>0.0837</v>
      </c>
    </row>
    <row r="87" spans="1:7" ht="13.5" thickBot="1">
      <c r="A87" s="21" t="s">
        <v>67</v>
      </c>
      <c r="B87" s="28">
        <f>B81</f>
        <v>2.1575</v>
      </c>
      <c r="C87" s="27">
        <f>ROUND(B87*RAW!$K$17,4)</f>
        <v>0.1074</v>
      </c>
      <c r="D87" s="27">
        <f>INPUT!$B$24</f>
        <v>0.0738</v>
      </c>
      <c r="E87" s="27">
        <f>E81</f>
        <v>0</v>
      </c>
      <c r="F87" s="23">
        <f>ROUND($F$10,4)</f>
        <v>0.2975</v>
      </c>
      <c r="G87" s="27">
        <f t="shared" si="7"/>
        <v>0.4787</v>
      </c>
    </row>
    <row r="88" spans="1:2" ht="14.25" thickBot="1" thickTop="1">
      <c r="A88" s="18" t="s">
        <v>155</v>
      </c>
      <c r="B88" s="29"/>
    </row>
    <row r="89" spans="1:7" ht="13.5" thickTop="1">
      <c r="A89" s="20" t="s">
        <v>14</v>
      </c>
      <c r="B89" s="28">
        <f>B90*2</f>
        <v>8</v>
      </c>
      <c r="C89" s="27">
        <f>ROUND(B89*RAW!$K$18,4)</f>
        <v>2.6552</v>
      </c>
      <c r="D89" s="27">
        <f>INPUT!$B$15</f>
        <v>0</v>
      </c>
      <c r="E89" s="27">
        <f>E91*4</f>
        <v>0</v>
      </c>
      <c r="F89" s="23">
        <f>+F91*4</f>
        <v>1.19</v>
      </c>
      <c r="G89" s="27">
        <f>ROUND(SUM(C89:F89),4)</f>
        <v>3.8452</v>
      </c>
    </row>
    <row r="90" spans="1:7" ht="12.75">
      <c r="A90" s="19" t="s">
        <v>63</v>
      </c>
      <c r="B90" s="28">
        <f>B91*2</f>
        <v>4</v>
      </c>
      <c r="C90" s="27">
        <f>ROUND(B90*RAW!$K$18,4)</f>
        <v>1.3276</v>
      </c>
      <c r="D90" s="27">
        <f>INPUT!$B$16</f>
        <v>0</v>
      </c>
      <c r="E90" s="27">
        <f>E91*2</f>
        <v>0</v>
      </c>
      <c r="F90" s="23">
        <f>+F91*2</f>
        <v>0.595</v>
      </c>
      <c r="G90" s="27">
        <f aca="true" t="shared" si="8" ref="G90:G97">ROUND(SUM(C90:F90),4)</f>
        <v>1.9226</v>
      </c>
    </row>
    <row r="91" spans="1:7" ht="12.75">
      <c r="A91" s="19" t="s">
        <v>16</v>
      </c>
      <c r="B91" s="28">
        <v>2</v>
      </c>
      <c r="C91" s="27">
        <f>ROUND(B91*RAW!$K$18,4)</f>
        <v>0.6638</v>
      </c>
      <c r="D91" s="27">
        <f>INPUT!$B$17</f>
        <v>0</v>
      </c>
      <c r="E91" s="27">
        <f>INPUT!B$36</f>
        <v>0</v>
      </c>
      <c r="F91" s="23">
        <f>INPUT!$B$31</f>
        <v>0.2975</v>
      </c>
      <c r="G91" s="27">
        <f t="shared" si="8"/>
        <v>0.9613</v>
      </c>
    </row>
    <row r="92" spans="1:7" ht="12.75">
      <c r="A92" s="19" t="s">
        <v>17</v>
      </c>
      <c r="B92" s="28">
        <f>ROUND(B91/2,4)</f>
        <v>1</v>
      </c>
      <c r="C92" s="27">
        <f>ROUND(B92*RAW!$K$18,4)</f>
        <v>0.3319</v>
      </c>
      <c r="D92" s="27">
        <f>INPUT!$B$18</f>
        <v>0</v>
      </c>
      <c r="E92" s="27">
        <f>ROUND(E91/2,4)</f>
        <v>0</v>
      </c>
      <c r="F92" s="23">
        <f>ROUND($F$10/2,4)</f>
        <v>0.1488</v>
      </c>
      <c r="G92" s="27">
        <f t="shared" si="8"/>
        <v>0.4807</v>
      </c>
    </row>
    <row r="93" spans="1:7" ht="12.75">
      <c r="A93" s="19" t="s">
        <v>161</v>
      </c>
      <c r="B93" s="28">
        <f>1.2*B94</f>
        <v>0.75</v>
      </c>
      <c r="C93" s="27">
        <f>ROUND(B93*RAW!$K$18,4)</f>
        <v>0.2489</v>
      </c>
      <c r="D93" s="27">
        <f>INPUT!$B$19</f>
        <v>0.063</v>
      </c>
      <c r="E93" s="27">
        <f>ROUND(E91/32*12,4)</f>
        <v>0</v>
      </c>
      <c r="F93" s="23">
        <f>ROUND($F$10/32*12,4)</f>
        <v>0.1116</v>
      </c>
      <c r="G93" s="27">
        <f t="shared" si="8"/>
        <v>0.4235</v>
      </c>
    </row>
    <row r="94" spans="1:7" ht="12.75">
      <c r="A94" s="19" t="s">
        <v>64</v>
      </c>
      <c r="B94" s="28">
        <f>ROUND(B91/32*10,6)</f>
        <v>0.625</v>
      </c>
      <c r="C94" s="27">
        <f>ROUND(B94*RAW!$K$18,4)</f>
        <v>0.2074</v>
      </c>
      <c r="D94" s="27">
        <f>INPUT!$B$20</f>
        <v>0.0309</v>
      </c>
      <c r="E94" s="27">
        <f>ROUND(E91/32*10,4)</f>
        <v>0</v>
      </c>
      <c r="F94" s="23">
        <f>ROUND($F$10/32*10,4)</f>
        <v>0.093</v>
      </c>
      <c r="G94" s="27">
        <f t="shared" si="8"/>
        <v>0.3313</v>
      </c>
    </row>
    <row r="95" spans="1:7" ht="12.75">
      <c r="A95" s="19" t="s">
        <v>65</v>
      </c>
      <c r="B95" s="28">
        <f>ROUND(B92/2,6)</f>
        <v>0.5</v>
      </c>
      <c r="C95" s="27">
        <f>ROUND(B95*RAW!$K$18,4)</f>
        <v>0.166</v>
      </c>
      <c r="D95" s="27">
        <f>INPUT!$B$21</f>
        <v>0</v>
      </c>
      <c r="E95" s="27">
        <f>ROUND(E91/4,4)</f>
        <v>0</v>
      </c>
      <c r="F95" s="23">
        <f>ROUND($F$10/4,4)</f>
        <v>0.0744</v>
      </c>
      <c r="G95" s="27">
        <f t="shared" si="8"/>
        <v>0.2404</v>
      </c>
    </row>
    <row r="96" spans="1:7" ht="12.75">
      <c r="A96" s="19" t="s">
        <v>66</v>
      </c>
      <c r="B96" s="28">
        <f>ROUND(B95/2,4)</f>
        <v>0.25</v>
      </c>
      <c r="C96" s="27">
        <f>ROUND(B96*RAW!$K$18,4)</f>
        <v>0.083</v>
      </c>
      <c r="D96" s="27">
        <f>INPUT!$B$23</f>
        <v>0.0331</v>
      </c>
      <c r="E96" s="27">
        <f>ROUND(E91/32*4,4)</f>
        <v>0</v>
      </c>
      <c r="F96" s="23">
        <f>ROUND($F$10/8,4)</f>
        <v>0.0372</v>
      </c>
      <c r="G96" s="27">
        <f t="shared" si="8"/>
        <v>0.1533</v>
      </c>
    </row>
    <row r="97" spans="1:7" ht="13.5" thickBot="1">
      <c r="A97" s="21" t="s">
        <v>67</v>
      </c>
      <c r="B97" s="28">
        <f>B91</f>
        <v>2</v>
      </c>
      <c r="C97" s="27">
        <f>ROUND(B97*RAW!$K$18,4)</f>
        <v>0.6638</v>
      </c>
      <c r="D97" s="27">
        <f>INPUT!$B$24</f>
        <v>0.0738</v>
      </c>
      <c r="E97" s="27">
        <f>E91</f>
        <v>0</v>
      </c>
      <c r="F97" s="23">
        <f>ROUND($F$10,4)</f>
        <v>0.2975</v>
      </c>
      <c r="G97" s="27">
        <f t="shared" si="8"/>
        <v>1.0351</v>
      </c>
    </row>
    <row r="98" spans="1:2" ht="14.25" thickBot="1" thickTop="1">
      <c r="A98" s="18" t="s">
        <v>68</v>
      </c>
      <c r="B98" s="29"/>
    </row>
    <row r="99" spans="1:7" ht="13.5" thickTop="1">
      <c r="A99" s="20" t="s">
        <v>63</v>
      </c>
      <c r="B99" s="28">
        <v>4.275</v>
      </c>
      <c r="C99" s="27">
        <f>ROUND(B99*RAW!$K$19,4)</f>
        <v>0</v>
      </c>
      <c r="D99" s="27">
        <f>INPUT!$B$16</f>
        <v>0</v>
      </c>
      <c r="E99" s="27">
        <f>E100*2</f>
        <v>0</v>
      </c>
      <c r="F99" s="23">
        <f>+F100*2</f>
        <v>0.595</v>
      </c>
      <c r="G99" s="27">
        <f aca="true" t="shared" si="9" ref="G99:G109">ROUND(SUM(C99:F99),4)</f>
        <v>0.595</v>
      </c>
    </row>
    <row r="100" spans="1:7" ht="12.75">
      <c r="A100" s="19" t="s">
        <v>16</v>
      </c>
      <c r="B100" s="28">
        <v>2.1375</v>
      </c>
      <c r="C100" s="27">
        <f>ROUND(B100*RAW!$K$19,4)</f>
        <v>0</v>
      </c>
      <c r="D100" s="27">
        <f>INPUT!$B$17</f>
        <v>0</v>
      </c>
      <c r="E100" s="27">
        <f>INPUT!B$36</f>
        <v>0</v>
      </c>
      <c r="F100" s="23">
        <f>INPUT!$B$31</f>
        <v>0.2975</v>
      </c>
      <c r="G100" s="27">
        <f t="shared" si="9"/>
        <v>0.2975</v>
      </c>
    </row>
    <row r="101" spans="1:7" ht="12.75">
      <c r="A101" s="19" t="s">
        <v>17</v>
      </c>
      <c r="B101" s="28">
        <v>1.06875</v>
      </c>
      <c r="C101" s="27">
        <f>ROUND(B101*RAW!$K$19,4)</f>
        <v>0</v>
      </c>
      <c r="D101" s="27">
        <f>INPUT!$B$18</f>
        <v>0</v>
      </c>
      <c r="E101" s="27">
        <f>ROUND(E100/2,4)</f>
        <v>0</v>
      </c>
      <c r="F101" s="23">
        <f>ROUND($F$10/2,4)</f>
        <v>0.1488</v>
      </c>
      <c r="G101" s="27">
        <f t="shared" si="9"/>
        <v>0.1488</v>
      </c>
    </row>
    <row r="102" spans="1:7" ht="12.75">
      <c r="A102" s="19" t="s">
        <v>161</v>
      </c>
      <c r="B102" s="28">
        <f>1.2*B103</f>
        <v>0.8015628</v>
      </c>
      <c r="C102" s="27">
        <f>ROUND(B102*RAW!$K$19,4)</f>
        <v>0</v>
      </c>
      <c r="D102" s="27">
        <f>INPUT!$B$19</f>
        <v>0.063</v>
      </c>
      <c r="E102" s="27">
        <f>ROUND(E100/32*12,4)</f>
        <v>0</v>
      </c>
      <c r="F102" s="23">
        <f>ROUND($F$10/32*12,4)</f>
        <v>0.1116</v>
      </c>
      <c r="G102" s="27">
        <f t="shared" si="9"/>
        <v>0.1746</v>
      </c>
    </row>
    <row r="103" spans="1:7" ht="12.75">
      <c r="A103" s="19" t="s">
        <v>64</v>
      </c>
      <c r="B103" s="28">
        <v>0.667969</v>
      </c>
      <c r="C103" s="27">
        <f>ROUND(B103*RAW!$K$19,4)</f>
        <v>0</v>
      </c>
      <c r="D103" s="27">
        <f>INPUT!$B$20</f>
        <v>0.0309</v>
      </c>
      <c r="E103" s="27">
        <f>ROUND(E100/32*10,4)</f>
        <v>0</v>
      </c>
      <c r="F103" s="23">
        <f>ROUND($F$10/32*10,4)</f>
        <v>0.093</v>
      </c>
      <c r="G103" s="27">
        <f t="shared" si="9"/>
        <v>0.1239</v>
      </c>
    </row>
    <row r="104" spans="1:7" ht="12.75">
      <c r="A104" s="19" t="s">
        <v>65</v>
      </c>
      <c r="B104" s="28">
        <v>0.534375</v>
      </c>
      <c r="C104" s="27">
        <f>ROUND(B104*RAW!$K$19,4)</f>
        <v>0</v>
      </c>
      <c r="D104" s="27">
        <f>INPUT!$B$21</f>
        <v>0</v>
      </c>
      <c r="E104" s="27">
        <f>ROUND(E100/4,4)</f>
        <v>0</v>
      </c>
      <c r="F104" s="23">
        <f>ROUND($F$10/4,4)</f>
        <v>0.0744</v>
      </c>
      <c r="G104" s="27">
        <f t="shared" si="9"/>
        <v>0.0744</v>
      </c>
    </row>
    <row r="105" spans="1:7" ht="12.75">
      <c r="A105" s="19" t="s">
        <v>66</v>
      </c>
      <c r="B105" s="28">
        <v>0.267188</v>
      </c>
      <c r="C105" s="27">
        <f>ROUND(B105*RAW!$K$19,4)</f>
        <v>0</v>
      </c>
      <c r="D105" s="27">
        <f>INPUT!$B$23</f>
        <v>0.0331</v>
      </c>
      <c r="E105" s="27">
        <f>ROUND(E100/32*4,4)</f>
        <v>0</v>
      </c>
      <c r="F105" s="23">
        <f>ROUND($F$10/8,4)</f>
        <v>0.0372</v>
      </c>
      <c r="G105" s="27">
        <f t="shared" si="9"/>
        <v>0.0703</v>
      </c>
    </row>
    <row r="106" spans="1:7" ht="12.75">
      <c r="A106" s="19" t="s">
        <v>67</v>
      </c>
      <c r="B106" s="28">
        <v>2.1375</v>
      </c>
      <c r="C106" s="27">
        <f>ROUND(B106*RAW!$K$19,4)</f>
        <v>0</v>
      </c>
      <c r="D106" s="27">
        <f>INPUT!$B$24</f>
        <v>0.0738</v>
      </c>
      <c r="E106" s="27">
        <f>E100</f>
        <v>0</v>
      </c>
      <c r="F106" s="27">
        <f>ROUND($F$10,4)</f>
        <v>0.2975</v>
      </c>
      <c r="G106" s="27">
        <f t="shared" si="9"/>
        <v>0.3713</v>
      </c>
    </row>
    <row r="107" spans="1:7" ht="12.75">
      <c r="A107" s="19" t="s">
        <v>69</v>
      </c>
      <c r="B107" s="28">
        <v>0.025049</v>
      </c>
      <c r="C107" s="27">
        <f>ROUND(B107*RAW!$K$19,4)</f>
        <v>0</v>
      </c>
      <c r="D107" s="23"/>
      <c r="E107" s="23"/>
      <c r="F107" s="27">
        <f>F105/32*3</f>
        <v>0.0034874999999999997</v>
      </c>
      <c r="G107" s="27">
        <f t="shared" si="9"/>
        <v>0.0035</v>
      </c>
    </row>
    <row r="108" spans="1:7" ht="12.75">
      <c r="A108" s="19" t="s">
        <v>70</v>
      </c>
      <c r="B108" s="28">
        <v>0.033399</v>
      </c>
      <c r="C108" s="27">
        <f>ROUND(B108*RAW!$K$19,4)</f>
        <v>0</v>
      </c>
      <c r="D108" s="23"/>
      <c r="E108" s="23"/>
      <c r="F108" s="27">
        <f>F105/8</f>
        <v>0.00465</v>
      </c>
      <c r="G108" s="27">
        <f t="shared" si="9"/>
        <v>0.0047</v>
      </c>
    </row>
    <row r="109" spans="1:7" ht="12.75">
      <c r="A109" s="19" t="s">
        <v>71</v>
      </c>
      <c r="B109" s="28">
        <v>0.050098</v>
      </c>
      <c r="C109" s="27">
        <f>ROUND(B109*RAW!$K$19,4)</f>
        <v>0</v>
      </c>
      <c r="D109" s="23"/>
      <c r="E109" s="23"/>
      <c r="F109" s="27">
        <f>F105/16*3</f>
        <v>0.006974999999999999</v>
      </c>
      <c r="G109" s="27">
        <f t="shared" si="9"/>
        <v>0.007</v>
      </c>
    </row>
    <row r="110" spans="1:7" ht="13.5" thickBot="1">
      <c r="A110" s="131"/>
      <c r="B110" s="132"/>
      <c r="C110" s="133"/>
      <c r="D110" s="122"/>
      <c r="E110" s="122"/>
      <c r="F110" s="133"/>
      <c r="G110" s="133"/>
    </row>
    <row r="111" spans="1:2" ht="14.25" thickBot="1" thickTop="1">
      <c r="A111" s="18" t="s">
        <v>72</v>
      </c>
      <c r="B111" s="29"/>
    </row>
    <row r="112" spans="1:7" ht="13.5" thickTop="1">
      <c r="A112" s="20" t="s">
        <v>63</v>
      </c>
      <c r="B112" s="28">
        <v>4.255</v>
      </c>
      <c r="C112" s="27">
        <f>ROUND(B112*RAW!$K$20,4)</f>
        <v>0</v>
      </c>
      <c r="D112" s="27">
        <f>INPUT!$B$16</f>
        <v>0</v>
      </c>
      <c r="E112" s="27">
        <f>E113*2</f>
        <v>0</v>
      </c>
      <c r="F112" s="23">
        <f>+F113*2</f>
        <v>0.595</v>
      </c>
      <c r="G112" s="27">
        <f aca="true" t="shared" si="10" ref="G112:G119">ROUND(SUM(C112:F112),4)</f>
        <v>0.595</v>
      </c>
    </row>
    <row r="113" spans="1:7" ht="12.75">
      <c r="A113" s="19" t="s">
        <v>16</v>
      </c>
      <c r="B113" s="28">
        <v>2.1275</v>
      </c>
      <c r="C113" s="27">
        <f>ROUND(B113*RAW!$K$20,4)</f>
        <v>0</v>
      </c>
      <c r="D113" s="27">
        <f>INPUT!$B$17</f>
        <v>0</v>
      </c>
      <c r="E113" s="27">
        <f>INPUT!B$36</f>
        <v>0</v>
      </c>
      <c r="F113" s="23">
        <f>INPUT!$B$31</f>
        <v>0.2975</v>
      </c>
      <c r="G113" s="27">
        <f t="shared" si="10"/>
        <v>0.2975</v>
      </c>
    </row>
    <row r="114" spans="1:7" ht="12.75">
      <c r="A114" s="19" t="s">
        <v>17</v>
      </c>
      <c r="B114" s="28">
        <v>1.06375</v>
      </c>
      <c r="C114" s="27">
        <f>ROUND(B114*RAW!$K$20,4)</f>
        <v>0</v>
      </c>
      <c r="D114" s="27">
        <f>INPUT!$B$18</f>
        <v>0</v>
      </c>
      <c r="E114" s="27">
        <f>ROUND(E113/2,4)</f>
        <v>0</v>
      </c>
      <c r="F114" s="23">
        <f>ROUND($F$10/2,4)</f>
        <v>0.1488</v>
      </c>
      <c r="G114" s="27">
        <f t="shared" si="10"/>
        <v>0.1488</v>
      </c>
    </row>
    <row r="115" spans="1:7" ht="12.75">
      <c r="A115" s="19" t="s">
        <v>161</v>
      </c>
      <c r="B115" s="28">
        <f>1.2*B116</f>
        <v>0.7978128</v>
      </c>
      <c r="C115" s="27">
        <f>ROUND(B115*RAW!$K$20,4)</f>
        <v>0</v>
      </c>
      <c r="D115" s="27">
        <f>INPUT!$B$19</f>
        <v>0.063</v>
      </c>
      <c r="E115" s="27">
        <f>ROUND(E113/32*12,4)</f>
        <v>0</v>
      </c>
      <c r="F115" s="23">
        <f>ROUND($F$10/32*12,4)</f>
        <v>0.1116</v>
      </c>
      <c r="G115" s="27">
        <f t="shared" si="10"/>
        <v>0.1746</v>
      </c>
    </row>
    <row r="116" spans="1:7" ht="12.75">
      <c r="A116" s="19" t="s">
        <v>64</v>
      </c>
      <c r="B116" s="28">
        <v>0.664844</v>
      </c>
      <c r="C116" s="27">
        <f>ROUND(B116*RAW!$K$20,4)</f>
        <v>0</v>
      </c>
      <c r="D116" s="27">
        <f>INPUT!$B$20</f>
        <v>0.0309</v>
      </c>
      <c r="E116" s="27">
        <f>ROUND(E113/32*10,4)</f>
        <v>0</v>
      </c>
      <c r="F116" s="23">
        <f>ROUND($F$10/32*10,4)</f>
        <v>0.093</v>
      </c>
      <c r="G116" s="27">
        <f t="shared" si="10"/>
        <v>0.1239</v>
      </c>
    </row>
    <row r="117" spans="1:7" ht="12.75">
      <c r="A117" s="19" t="s">
        <v>65</v>
      </c>
      <c r="B117" s="28">
        <v>0.531875</v>
      </c>
      <c r="C117" s="27">
        <f>ROUND(B117*RAW!$K$20,4)</f>
        <v>0</v>
      </c>
      <c r="D117" s="27">
        <f>INPUT!$B$21</f>
        <v>0</v>
      </c>
      <c r="E117" s="27">
        <f>ROUND(E113/4,4)</f>
        <v>0</v>
      </c>
      <c r="F117" s="23">
        <f>ROUND($F$10/4,4)</f>
        <v>0.0744</v>
      </c>
      <c r="G117" s="27">
        <f t="shared" si="10"/>
        <v>0.0744</v>
      </c>
    </row>
    <row r="118" spans="1:7" ht="12.75">
      <c r="A118" s="19" t="s">
        <v>66</v>
      </c>
      <c r="B118" s="28">
        <v>0.265938</v>
      </c>
      <c r="C118" s="27">
        <f>ROUND(B118*RAW!$K$20,4)</f>
        <v>0</v>
      </c>
      <c r="D118" s="27">
        <f>INPUT!$B$23</f>
        <v>0.0331</v>
      </c>
      <c r="E118" s="27">
        <f>ROUND(E113/32*4,4)</f>
        <v>0</v>
      </c>
      <c r="F118" s="23">
        <f>ROUND($F$10/8,4)</f>
        <v>0.0372</v>
      </c>
      <c r="G118" s="27">
        <f t="shared" si="10"/>
        <v>0.0703</v>
      </c>
    </row>
    <row r="119" spans="1:7" ht="13.5" thickBot="1">
      <c r="A119" s="21" t="s">
        <v>67</v>
      </c>
      <c r="B119" s="28">
        <v>2.1275</v>
      </c>
      <c r="C119" s="27">
        <f>ROUND(B119*RAW!$K$20,4)</f>
        <v>0</v>
      </c>
      <c r="D119" s="27">
        <f>INPUT!$B$24</f>
        <v>0.0738</v>
      </c>
      <c r="E119" s="27">
        <f>E113</f>
        <v>0</v>
      </c>
      <c r="F119" s="23">
        <f>ROUND($F$10,4)</f>
        <v>0.2975</v>
      </c>
      <c r="G119" s="27">
        <f t="shared" si="10"/>
        <v>0.3713</v>
      </c>
    </row>
    <row r="120" spans="1:2" ht="14.25" thickBot="1" thickTop="1">
      <c r="A120" s="18" t="s">
        <v>54</v>
      </c>
      <c r="B120" s="29"/>
    </row>
    <row r="121" spans="1:7" ht="13.5" thickTop="1">
      <c r="A121" s="20" t="s">
        <v>63</v>
      </c>
      <c r="B121" s="28">
        <f>B122*2</f>
        <v>4.185</v>
      </c>
      <c r="C121" s="27">
        <f>ROUND(B121*RAW!$K$21,4)</f>
        <v>0</v>
      </c>
      <c r="D121" s="27">
        <f>INPUT!$B$16</f>
        <v>0</v>
      </c>
      <c r="E121" s="27">
        <f>E122*2</f>
        <v>0</v>
      </c>
      <c r="F121" s="23">
        <f>+F122*2</f>
        <v>0.595</v>
      </c>
      <c r="G121" s="27">
        <f aca="true" t="shared" si="11" ref="G121:G128">ROUND(SUM(C121:F121),4)</f>
        <v>0.595</v>
      </c>
    </row>
    <row r="122" spans="1:7" ht="12.75">
      <c r="A122" s="19" t="s">
        <v>16</v>
      </c>
      <c r="B122" s="28">
        <v>2.0925</v>
      </c>
      <c r="C122" s="27">
        <f>ROUND(B122*RAW!$K$21,4)</f>
        <v>0</v>
      </c>
      <c r="D122" s="27">
        <f>INPUT!$B$17</f>
        <v>0</v>
      </c>
      <c r="E122" s="27">
        <f>INPUT!B$36</f>
        <v>0</v>
      </c>
      <c r="F122" s="23">
        <f>INPUT!$B$31</f>
        <v>0.2975</v>
      </c>
      <c r="G122" s="27">
        <f t="shared" si="11"/>
        <v>0.2975</v>
      </c>
    </row>
    <row r="123" spans="1:7" ht="12.75">
      <c r="A123" s="19" t="s">
        <v>17</v>
      </c>
      <c r="B123" s="28">
        <f>ROUND(B122/2,4)</f>
        <v>1.0463</v>
      </c>
      <c r="C123" s="27">
        <f>ROUND(B123*RAW!$K$21,4)</f>
        <v>0</v>
      </c>
      <c r="D123" s="27">
        <f>INPUT!$B$18</f>
        <v>0</v>
      </c>
      <c r="E123" s="27">
        <f>ROUND(E122/2,4)</f>
        <v>0</v>
      </c>
      <c r="F123" s="23">
        <f>ROUND($F$10/2,4)</f>
        <v>0.1488</v>
      </c>
      <c r="G123" s="27">
        <f t="shared" si="11"/>
        <v>0.1488</v>
      </c>
    </row>
    <row r="124" spans="1:7" ht="12.75">
      <c r="A124" s="19" t="s">
        <v>161</v>
      </c>
      <c r="B124" s="28">
        <f>1.2*B125</f>
        <v>0.7846871999999999</v>
      </c>
      <c r="C124" s="27">
        <f>ROUND(B124*RAW!$K$21,4)</f>
        <v>0</v>
      </c>
      <c r="D124" s="27">
        <f>INPUT!$B$19</f>
        <v>0.063</v>
      </c>
      <c r="E124" s="27">
        <f>ROUND(E122/32*12,4)</f>
        <v>0</v>
      </c>
      <c r="F124" s="23">
        <f>ROUND($F$10/32*12,4)</f>
        <v>0.1116</v>
      </c>
      <c r="G124" s="27">
        <f t="shared" si="11"/>
        <v>0.1746</v>
      </c>
    </row>
    <row r="125" spans="1:7" ht="12.75">
      <c r="A125" s="19" t="s">
        <v>64</v>
      </c>
      <c r="B125" s="28">
        <f>ROUND(B122/32*10,6)</f>
        <v>0.653906</v>
      </c>
      <c r="C125" s="27">
        <f>ROUND(B125*RAW!$K$21,4)</f>
        <v>0</v>
      </c>
      <c r="D125" s="27">
        <f>INPUT!$B$20</f>
        <v>0.0309</v>
      </c>
      <c r="E125" s="27">
        <f>ROUND(E122/32*10,4)</f>
        <v>0</v>
      </c>
      <c r="F125" s="23">
        <f>ROUND($F$10/32*10,4)</f>
        <v>0.093</v>
      </c>
      <c r="G125" s="27">
        <f t="shared" si="11"/>
        <v>0.1239</v>
      </c>
    </row>
    <row r="126" spans="1:7" ht="12.75">
      <c r="A126" s="19" t="s">
        <v>65</v>
      </c>
      <c r="B126" s="28">
        <f>ROUND(B123/2,6)</f>
        <v>0.52315</v>
      </c>
      <c r="C126" s="27">
        <f>ROUND(B126*RAW!$K$21,4)</f>
        <v>0</v>
      </c>
      <c r="D126" s="27">
        <f>INPUT!$B$21</f>
        <v>0</v>
      </c>
      <c r="E126" s="27">
        <f>ROUND(E122/4,4)</f>
        <v>0</v>
      </c>
      <c r="F126" s="23">
        <f>ROUND($F$10/4,4)</f>
        <v>0.0744</v>
      </c>
      <c r="G126" s="27">
        <f t="shared" si="11"/>
        <v>0.0744</v>
      </c>
    </row>
    <row r="127" spans="1:7" ht="12.75">
      <c r="A127" s="19" t="s">
        <v>66</v>
      </c>
      <c r="B127" s="28">
        <f>ROUND(B126/2,4)</f>
        <v>0.2616</v>
      </c>
      <c r="C127" s="27">
        <f>ROUND(B127*RAW!$K$21,4)</f>
        <v>0</v>
      </c>
      <c r="D127" s="27">
        <f>INPUT!$B$23</f>
        <v>0.0331</v>
      </c>
      <c r="E127" s="27">
        <f>ROUND(E122/32*4,4)</f>
        <v>0</v>
      </c>
      <c r="F127" s="23">
        <f>ROUND($F$10/8,4)</f>
        <v>0.0372</v>
      </c>
      <c r="G127" s="27">
        <f t="shared" si="11"/>
        <v>0.0703</v>
      </c>
    </row>
    <row r="128" spans="1:7" ht="13.5" thickBot="1">
      <c r="A128" s="21" t="s">
        <v>67</v>
      </c>
      <c r="B128" s="28">
        <f>B122</f>
        <v>2.0925</v>
      </c>
      <c r="C128" s="27">
        <f>ROUND(B128*RAW!$K$21,4)</f>
        <v>0</v>
      </c>
      <c r="D128" s="27">
        <f>INPUT!$B$24</f>
        <v>0.0738</v>
      </c>
      <c r="E128" s="27">
        <f>E122</f>
        <v>0</v>
      </c>
      <c r="F128" s="23">
        <f>ROUND($F$10,4)</f>
        <v>0.2975</v>
      </c>
      <c r="G128" s="27">
        <f t="shared" si="11"/>
        <v>0.3713</v>
      </c>
    </row>
    <row r="129" spans="1:2" ht="14.25" thickBot="1" thickTop="1">
      <c r="A129" s="18" t="s">
        <v>55</v>
      </c>
      <c r="B129" s="29"/>
    </row>
    <row r="130" spans="1:7" ht="13.5" thickTop="1">
      <c r="A130" s="20" t="s">
        <v>63</v>
      </c>
      <c r="B130" s="28">
        <f>B131*2</f>
        <v>4.16</v>
      </c>
      <c r="C130" s="27">
        <f>ROUND(B130*RAW!$K$22,4)</f>
        <v>0</v>
      </c>
      <c r="D130" s="27">
        <f>INPUT!$B$16</f>
        <v>0</v>
      </c>
      <c r="E130" s="27">
        <f>E131*2</f>
        <v>0</v>
      </c>
      <c r="F130" s="23">
        <f>+F131*2</f>
        <v>0.595</v>
      </c>
      <c r="G130" s="27">
        <f aca="true" t="shared" si="12" ref="G130:G137">ROUND(SUM(C130:F130),4)</f>
        <v>0.595</v>
      </c>
    </row>
    <row r="131" spans="1:7" ht="12.75">
      <c r="A131" s="19" t="s">
        <v>16</v>
      </c>
      <c r="B131" s="28">
        <v>2.08</v>
      </c>
      <c r="C131" s="27">
        <f>ROUND(B131*RAW!$K$22,4)</f>
        <v>0</v>
      </c>
      <c r="D131" s="27">
        <f>INPUT!$B$17</f>
        <v>0</v>
      </c>
      <c r="E131" s="27">
        <f>INPUT!B$36</f>
        <v>0</v>
      </c>
      <c r="F131" s="23">
        <f>INPUT!$B$31</f>
        <v>0.2975</v>
      </c>
      <c r="G131" s="27">
        <f t="shared" si="12"/>
        <v>0.2975</v>
      </c>
    </row>
    <row r="132" spans="1:7" ht="12.75">
      <c r="A132" s="19" t="s">
        <v>17</v>
      </c>
      <c r="B132" s="28">
        <f>ROUND(B131/2,4)</f>
        <v>1.04</v>
      </c>
      <c r="C132" s="27">
        <f>ROUND(B132*RAW!$K$22,4)</f>
        <v>0</v>
      </c>
      <c r="D132" s="27">
        <f>INPUT!$B$18</f>
        <v>0</v>
      </c>
      <c r="E132" s="27">
        <f>ROUND(E131/2,4)</f>
        <v>0</v>
      </c>
      <c r="F132" s="23">
        <f>ROUND($F$10/2,4)</f>
        <v>0.1488</v>
      </c>
      <c r="G132" s="27">
        <f t="shared" si="12"/>
        <v>0.1488</v>
      </c>
    </row>
    <row r="133" spans="1:7" ht="12.75">
      <c r="A133" s="19" t="s">
        <v>161</v>
      </c>
      <c r="B133" s="28">
        <f>1.2*B134</f>
        <v>0.78</v>
      </c>
      <c r="C133" s="27">
        <f>ROUND(B133*RAW!$K$22,4)</f>
        <v>0</v>
      </c>
      <c r="D133" s="27">
        <f>INPUT!$B$19</f>
        <v>0.063</v>
      </c>
      <c r="E133" s="27">
        <f>ROUND(E131/32*12,4)</f>
        <v>0</v>
      </c>
      <c r="F133" s="23">
        <f>ROUND($F$10/32*12,4)</f>
        <v>0.1116</v>
      </c>
      <c r="G133" s="27">
        <f t="shared" si="12"/>
        <v>0.1746</v>
      </c>
    </row>
    <row r="134" spans="1:7" ht="12.75">
      <c r="A134" s="19" t="s">
        <v>64</v>
      </c>
      <c r="B134" s="28">
        <f>ROUND(B131/32*10,6)</f>
        <v>0.65</v>
      </c>
      <c r="C134" s="27">
        <f>ROUND(B134*RAW!$K$22,4)</f>
        <v>0</v>
      </c>
      <c r="D134" s="27">
        <f>INPUT!$B$20</f>
        <v>0.0309</v>
      </c>
      <c r="E134" s="27">
        <f>ROUND(E131/32*10,4)</f>
        <v>0</v>
      </c>
      <c r="F134" s="23">
        <f>ROUND($F$10/32*10,4)</f>
        <v>0.093</v>
      </c>
      <c r="G134" s="27">
        <f t="shared" si="12"/>
        <v>0.1239</v>
      </c>
    </row>
    <row r="135" spans="1:7" ht="12.75">
      <c r="A135" s="19" t="s">
        <v>65</v>
      </c>
      <c r="B135" s="28">
        <f>ROUND(B132/2,6)</f>
        <v>0.52</v>
      </c>
      <c r="C135" s="27">
        <f>ROUND(B135*RAW!$K$22,4)</f>
        <v>0</v>
      </c>
      <c r="D135" s="27">
        <f>INPUT!$B$21</f>
        <v>0</v>
      </c>
      <c r="E135" s="27">
        <f>ROUND(E131/4,4)</f>
        <v>0</v>
      </c>
      <c r="F135" s="23">
        <f>ROUND($F$10/4,4)</f>
        <v>0.0744</v>
      </c>
      <c r="G135" s="27">
        <f t="shared" si="12"/>
        <v>0.0744</v>
      </c>
    </row>
    <row r="136" spans="1:7" ht="12.75">
      <c r="A136" s="19" t="s">
        <v>66</v>
      </c>
      <c r="B136" s="28">
        <f>ROUND(B135/2,4)</f>
        <v>0.26</v>
      </c>
      <c r="C136" s="27">
        <f>ROUND(B136*RAW!$K$22,4)</f>
        <v>0</v>
      </c>
      <c r="D136" s="27">
        <f>INPUT!$B$23</f>
        <v>0.0331</v>
      </c>
      <c r="E136" s="27">
        <f>ROUND(E131/32*4,4)</f>
        <v>0</v>
      </c>
      <c r="F136" s="23">
        <f>ROUND($F$10/8,4)</f>
        <v>0.0372</v>
      </c>
      <c r="G136" s="27">
        <f t="shared" si="12"/>
        <v>0.0703</v>
      </c>
    </row>
    <row r="137" spans="1:7" ht="13.5" thickBot="1">
      <c r="A137" s="21" t="s">
        <v>67</v>
      </c>
      <c r="B137" s="28">
        <f>B131</f>
        <v>2.08</v>
      </c>
      <c r="C137" s="27">
        <f>ROUND(B137*RAW!$K$22,4)</f>
        <v>0</v>
      </c>
      <c r="D137" s="27">
        <f>INPUT!$B$24</f>
        <v>0.0738</v>
      </c>
      <c r="E137" s="27">
        <f>E131</f>
        <v>0</v>
      </c>
      <c r="F137" s="23">
        <f>ROUND($F$10,4)</f>
        <v>0.2975</v>
      </c>
      <c r="G137" s="27">
        <f t="shared" si="12"/>
        <v>0.3713</v>
      </c>
    </row>
    <row r="138" spans="1:2" ht="14.25" thickBot="1" thickTop="1">
      <c r="A138" s="18" t="s">
        <v>73</v>
      </c>
      <c r="B138" s="29"/>
    </row>
    <row r="139" spans="1:7" ht="13.5" thickTop="1">
      <c r="A139" s="20" t="s">
        <v>63</v>
      </c>
      <c r="B139" s="28">
        <v>4.255</v>
      </c>
      <c r="C139" s="27">
        <f>ROUND(B139*RAW!$K$20,4)</f>
        <v>0</v>
      </c>
      <c r="D139" s="27"/>
      <c r="E139" s="27">
        <f>E140*2</f>
        <v>0</v>
      </c>
      <c r="F139" s="23">
        <f>+F140*2</f>
        <v>0.595</v>
      </c>
      <c r="G139" s="27">
        <f aca="true" t="shared" si="13" ref="G139:G146">ROUND(SUM(C139:F139),4)</f>
        <v>0.595</v>
      </c>
    </row>
    <row r="140" spans="1:7" ht="12.75">
      <c r="A140" s="19" t="s">
        <v>16</v>
      </c>
      <c r="B140" s="28">
        <v>2.1275</v>
      </c>
      <c r="C140" s="27">
        <f>ROUND(B140*RAW!$K$20,4)</f>
        <v>0</v>
      </c>
      <c r="D140" s="27"/>
      <c r="E140" s="27">
        <f>INPUT!B$36</f>
        <v>0</v>
      </c>
      <c r="F140" s="23">
        <f>INPUT!$B$31</f>
        <v>0.2975</v>
      </c>
      <c r="G140" s="27">
        <f t="shared" si="13"/>
        <v>0.2975</v>
      </c>
    </row>
    <row r="141" spans="1:7" ht="12.75">
      <c r="A141" s="19" t="s">
        <v>17</v>
      </c>
      <c r="B141" s="28">
        <v>1.06375</v>
      </c>
      <c r="C141" s="27">
        <f>ROUND(B141*RAW!$K$20,4)</f>
        <v>0</v>
      </c>
      <c r="D141" s="27"/>
      <c r="E141" s="27">
        <f>ROUND(E140/2,4)</f>
        <v>0</v>
      </c>
      <c r="F141" s="23">
        <f>ROUND($F$10/2,4)</f>
        <v>0.1488</v>
      </c>
      <c r="G141" s="27">
        <f t="shared" si="13"/>
        <v>0.1488</v>
      </c>
    </row>
    <row r="142" spans="1:7" ht="12.75">
      <c r="A142" s="19" t="s">
        <v>161</v>
      </c>
      <c r="B142" s="28">
        <f>1.2*B143</f>
        <v>0.7978128</v>
      </c>
      <c r="C142" s="27">
        <f>ROUND(B142*RAW!$K$20,4)</f>
        <v>0</v>
      </c>
      <c r="D142" s="27"/>
      <c r="E142" s="27">
        <f>ROUND(E140/32*12,4)</f>
        <v>0</v>
      </c>
      <c r="F142" s="23">
        <f>ROUND($F$10/32*12,4)</f>
        <v>0.1116</v>
      </c>
      <c r="G142" s="27">
        <f t="shared" si="13"/>
        <v>0.1116</v>
      </c>
    </row>
    <row r="143" spans="1:7" ht="12.75">
      <c r="A143" s="19" t="s">
        <v>64</v>
      </c>
      <c r="B143" s="28">
        <v>0.664844</v>
      </c>
      <c r="C143" s="27">
        <f>ROUND(B143*RAW!$K$20,4)</f>
        <v>0</v>
      </c>
      <c r="D143" s="27"/>
      <c r="E143" s="27">
        <f>ROUND(E140/32*10,4)</f>
        <v>0</v>
      </c>
      <c r="F143" s="23">
        <f>ROUND($F$10/32*10,4)</f>
        <v>0.093</v>
      </c>
      <c r="G143" s="27">
        <f t="shared" si="13"/>
        <v>0.093</v>
      </c>
    </row>
    <row r="144" spans="1:7" ht="12.75">
      <c r="A144" s="19" t="s">
        <v>65</v>
      </c>
      <c r="B144" s="28">
        <v>0.531875</v>
      </c>
      <c r="C144" s="27">
        <f>ROUND(B144*RAW!$K$20,4)</f>
        <v>0</v>
      </c>
      <c r="D144" s="27"/>
      <c r="E144" s="27">
        <f>ROUND(E140/4,4)</f>
        <v>0</v>
      </c>
      <c r="F144" s="23">
        <f>ROUND($F$10/4,4)</f>
        <v>0.0744</v>
      </c>
      <c r="G144" s="27">
        <f t="shared" si="13"/>
        <v>0.0744</v>
      </c>
    </row>
    <row r="145" spans="1:7" ht="12.75">
      <c r="A145" s="19" t="s">
        <v>66</v>
      </c>
      <c r="B145" s="28">
        <v>0.265938</v>
      </c>
      <c r="C145" s="27">
        <f>ROUND(B145*RAW!$K$20,4)</f>
        <v>0</v>
      </c>
      <c r="D145" s="27"/>
      <c r="E145" s="27">
        <f>ROUND(E140/32*4,4)</f>
        <v>0</v>
      </c>
      <c r="F145" s="23">
        <f>ROUND($F$10/8,4)</f>
        <v>0.0372</v>
      </c>
      <c r="G145" s="27">
        <f t="shared" si="13"/>
        <v>0.0372</v>
      </c>
    </row>
    <row r="146" spans="1:7" ht="12.75">
      <c r="A146" s="19" t="s">
        <v>67</v>
      </c>
      <c r="B146" s="28">
        <v>2.1275</v>
      </c>
      <c r="C146" s="27">
        <f>ROUND(B146*RAW!$K$20,4)</f>
        <v>0</v>
      </c>
      <c r="D146" s="27"/>
      <c r="E146" s="27">
        <f>E140</f>
        <v>0</v>
      </c>
      <c r="F146" s="23">
        <f>ROUND($F$10,4)</f>
        <v>0.2975</v>
      </c>
      <c r="G146" s="27">
        <f t="shared" si="13"/>
        <v>0.2975</v>
      </c>
    </row>
  </sheetData>
  <sheetProtection/>
  <printOptions horizontalCentered="1"/>
  <pageMargins left="0.75" right="0.75" top="1" bottom="1" header="0.5" footer="0.5"/>
  <pageSetup horizontalDpi="300" verticalDpi="300" orientation="portrait" r:id="rId1"/>
  <rowBreaks count="2" manualBreakCount="2">
    <brk id="43" max="65535" man="1"/>
    <brk id="82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431"/>
  <sheetViews>
    <sheetView zoomScale="75" zoomScaleNormal="75" zoomScaleSheetLayoutView="75" zoomScalePageLayoutView="0" workbookViewId="0" topLeftCell="A4">
      <pane xSplit="3" ySplit="4" topLeftCell="D8" activePane="bottomRight" state="frozen"/>
      <selection pane="topLeft" activeCell="F10" sqref="F10:F18"/>
      <selection pane="topRight" activeCell="F10" sqref="F10:F18"/>
      <selection pane="bottomLeft" activeCell="F10" sqref="F10:F18"/>
      <selection pane="bottomRight" activeCell="F10" sqref="F10:F18"/>
    </sheetView>
  </sheetViews>
  <sheetFormatPr defaultColWidth="9.140625" defaultRowHeight="12.75"/>
  <cols>
    <col min="1" max="2" width="3.7109375" style="0" customWidth="1"/>
    <col min="3" max="3" width="15.8515625" style="0" customWidth="1"/>
    <col min="4" max="4" width="11.28125" style="0" customWidth="1"/>
    <col min="5" max="5" width="13.57421875" style="40" customWidth="1"/>
    <col min="6" max="7" width="13.57421875" style="0" customWidth="1"/>
    <col min="8" max="8" width="13.421875" style="40" customWidth="1"/>
    <col min="9" max="9" width="12.7109375" style="40" customWidth="1"/>
    <col min="10" max="10" width="8.57421875" style="40" customWidth="1"/>
    <col min="11" max="11" width="7.8515625" style="40" customWidth="1"/>
    <col min="12" max="12" width="10.00390625" style="40" customWidth="1"/>
    <col min="13" max="13" width="11.7109375" style="40" customWidth="1"/>
    <col min="14" max="14" width="14.421875" style="109" customWidth="1"/>
    <col min="15" max="15" width="5.7109375" style="0" hidden="1" customWidth="1"/>
    <col min="16" max="16" width="13.7109375" style="0" customWidth="1"/>
    <col min="17" max="17" width="13.8515625" style="0" customWidth="1"/>
    <col min="18" max="18" width="9.140625" style="0" customWidth="1"/>
    <col min="19" max="19" width="11.421875" style="0" customWidth="1"/>
    <col min="20" max="21" width="14.57421875" style="0" customWidth="1"/>
    <col min="22" max="25" width="9.140625" style="0" customWidth="1"/>
  </cols>
  <sheetData>
    <row r="1" spans="3:16" ht="12.75">
      <c r="C1" s="30" t="s">
        <v>39</v>
      </c>
      <c r="D1" s="30"/>
      <c r="E1" s="101"/>
      <c r="F1" s="30"/>
      <c r="G1" s="30"/>
      <c r="H1" s="101"/>
      <c r="I1" s="101"/>
      <c r="J1" s="101"/>
      <c r="K1" s="101"/>
      <c r="L1" s="101"/>
      <c r="M1" s="101"/>
      <c r="N1" s="106"/>
      <c r="O1" s="114"/>
      <c r="P1" s="114"/>
    </row>
    <row r="2" spans="3:16" ht="12.75">
      <c r="C2" s="30" t="s">
        <v>74</v>
      </c>
      <c r="D2" s="30"/>
      <c r="E2" s="101"/>
      <c r="F2" s="30"/>
      <c r="G2" s="30"/>
      <c r="H2" s="101"/>
      <c r="I2" s="101"/>
      <c r="J2" s="101"/>
      <c r="K2" s="101"/>
      <c r="L2" s="101"/>
      <c r="M2" s="101"/>
      <c r="N2" s="106"/>
      <c r="O2" s="114"/>
      <c r="P2" s="114"/>
    </row>
    <row r="3" spans="3:16" ht="13.5" thickBot="1">
      <c r="C3" s="31">
        <f>INPUT!B3</f>
        <v>0</v>
      </c>
      <c r="D3" s="30"/>
      <c r="E3" s="101"/>
      <c r="F3" s="30"/>
      <c r="G3" s="30"/>
      <c r="H3" s="101"/>
      <c r="I3" s="101"/>
      <c r="J3" s="101"/>
      <c r="K3" s="101"/>
      <c r="L3" s="101"/>
      <c r="M3" s="101"/>
      <c r="N3" s="106"/>
      <c r="O3" s="114"/>
      <c r="P3" s="114"/>
    </row>
    <row r="4" spans="4:21" ht="13.5" thickTop="1">
      <c r="D4" s="16">
        <v>1</v>
      </c>
      <c r="E4" s="104">
        <v>2</v>
      </c>
      <c r="F4" s="16">
        <v>3</v>
      </c>
      <c r="G4" s="217"/>
      <c r="H4" s="214">
        <v>4</v>
      </c>
      <c r="I4" s="104">
        <v>5</v>
      </c>
      <c r="J4" s="104">
        <v>6</v>
      </c>
      <c r="K4" s="104">
        <v>7</v>
      </c>
      <c r="L4" s="104">
        <v>8</v>
      </c>
      <c r="M4" s="104">
        <v>9</v>
      </c>
      <c r="N4" s="16">
        <v>10</v>
      </c>
      <c r="P4" s="16">
        <v>11</v>
      </c>
      <c r="Q4" s="16">
        <v>12</v>
      </c>
      <c r="S4" s="16">
        <v>13</v>
      </c>
      <c r="T4" s="16">
        <v>14</v>
      </c>
      <c r="U4" s="16">
        <v>15</v>
      </c>
    </row>
    <row r="5" spans="4:21" ht="12.75">
      <c r="D5" s="32" t="s">
        <v>75</v>
      </c>
      <c r="E5" s="102" t="s">
        <v>76</v>
      </c>
      <c r="F5" s="32" t="s">
        <v>77</v>
      </c>
      <c r="G5" s="218"/>
      <c r="H5" s="215"/>
      <c r="I5" s="102"/>
      <c r="J5" s="105">
        <f>INPUT!B54</f>
        <v>0.035</v>
      </c>
      <c r="K5" s="102" t="s">
        <v>78</v>
      </c>
      <c r="L5" s="102" t="s">
        <v>75</v>
      </c>
      <c r="M5" s="102" t="s">
        <v>77</v>
      </c>
      <c r="N5" s="107" t="s">
        <v>79</v>
      </c>
      <c r="P5" s="32" t="s">
        <v>79</v>
      </c>
      <c r="Q5" s="146" t="s">
        <v>157</v>
      </c>
      <c r="S5" s="146" t="s">
        <v>157</v>
      </c>
      <c r="T5" s="146" t="s">
        <v>80</v>
      </c>
      <c r="U5" s="146" t="s">
        <v>81</v>
      </c>
    </row>
    <row r="6" spans="4:22" ht="12.75">
      <c r="D6" s="32" t="s">
        <v>82</v>
      </c>
      <c r="E6" s="102" t="s">
        <v>83</v>
      </c>
      <c r="F6" s="32" t="s">
        <v>59</v>
      </c>
      <c r="G6" s="219" t="s">
        <v>133</v>
      </c>
      <c r="H6" s="215" t="s">
        <v>47</v>
      </c>
      <c r="I6" s="102" t="s">
        <v>80</v>
      </c>
      <c r="J6" s="102" t="s">
        <v>84</v>
      </c>
      <c r="K6" s="102" t="s">
        <v>85</v>
      </c>
      <c r="L6" s="102" t="s">
        <v>86</v>
      </c>
      <c r="M6" s="102" t="s">
        <v>86</v>
      </c>
      <c r="N6" s="107" t="s">
        <v>80</v>
      </c>
      <c r="P6" s="33" t="s">
        <v>81</v>
      </c>
      <c r="Q6" s="107" t="s">
        <v>10</v>
      </c>
      <c r="S6" s="107" t="s">
        <v>10</v>
      </c>
      <c r="T6" s="107" t="s">
        <v>87</v>
      </c>
      <c r="U6" s="107" t="s">
        <v>87</v>
      </c>
      <c r="V6" s="147" t="s">
        <v>88</v>
      </c>
    </row>
    <row r="7" spans="4:22" ht="13.5" thickBot="1">
      <c r="D7" s="17" t="s">
        <v>47</v>
      </c>
      <c r="E7" s="103" t="s">
        <v>46</v>
      </c>
      <c r="F7" s="17" t="s">
        <v>89</v>
      </c>
      <c r="G7" s="220" t="s">
        <v>46</v>
      </c>
      <c r="H7" s="216" t="s">
        <v>46</v>
      </c>
      <c r="I7" s="103" t="s">
        <v>78</v>
      </c>
      <c r="J7" s="103" t="s">
        <v>90</v>
      </c>
      <c r="K7" s="103" t="s">
        <v>84</v>
      </c>
      <c r="L7" s="103" t="s">
        <v>89</v>
      </c>
      <c r="M7" s="103" t="s">
        <v>89</v>
      </c>
      <c r="N7" s="108" t="s">
        <v>78</v>
      </c>
      <c r="P7" s="113">
        <f>INPUT!B56</f>
        <v>0.025</v>
      </c>
      <c r="Q7" s="108" t="s">
        <v>80</v>
      </c>
      <c r="S7" s="113" t="s">
        <v>81</v>
      </c>
      <c r="T7" s="108" t="s">
        <v>91</v>
      </c>
      <c r="U7" s="113" t="s">
        <v>91</v>
      </c>
      <c r="V7">
        <f>INPUT!B58</f>
        <v>0</v>
      </c>
    </row>
    <row r="8" spans="4:22" ht="13.5" thickTop="1">
      <c r="D8" s="116"/>
      <c r="E8" s="117"/>
      <c r="F8" s="116"/>
      <c r="G8" s="116"/>
      <c r="H8" s="117"/>
      <c r="I8" s="117"/>
      <c r="J8" s="117"/>
      <c r="K8" s="117"/>
      <c r="L8" s="117"/>
      <c r="M8" s="117"/>
      <c r="N8" s="118"/>
      <c r="P8" s="119"/>
      <c r="Q8" s="118"/>
      <c r="S8" s="119"/>
      <c r="T8" s="118"/>
      <c r="U8" s="119"/>
      <c r="V8" t="s">
        <v>12</v>
      </c>
    </row>
    <row r="9" spans="3:20" ht="13.5" thickBot="1">
      <c r="C9" s="115"/>
      <c r="D9" s="40"/>
      <c r="Q9" s="109"/>
      <c r="T9" s="109"/>
    </row>
    <row r="10" spans="1:25" ht="14.25" thickBot="1" thickTop="1">
      <c r="A10" s="262" t="s">
        <v>141</v>
      </c>
      <c r="B10" s="265" t="s">
        <v>137</v>
      </c>
      <c r="C10" s="18" t="s">
        <v>14</v>
      </c>
      <c r="D10" s="98">
        <f>'CNTNR COST'!G8</f>
        <v>1.1986</v>
      </c>
      <c r="E10" s="38">
        <v>0</v>
      </c>
      <c r="F10" s="242">
        <v>-0.0882</v>
      </c>
      <c r="G10" s="38">
        <f>ROUND($G$12*4,4)</f>
        <v>0</v>
      </c>
      <c r="H10" s="38">
        <f>ROUND($H$12*4,4)</f>
        <v>0.0408</v>
      </c>
      <c r="I10" s="38">
        <f>ROUND(SUM(D10:H10),4)</f>
        <v>1.1512</v>
      </c>
      <c r="J10" s="38">
        <f aca="true" t="shared" si="0" ref="J10:J18">ROUND((I10/(1-$J$5))-I10,4)</f>
        <v>0.0418</v>
      </c>
      <c r="K10" s="38">
        <f>ROUND(I10+J10,4)</f>
        <v>1.193</v>
      </c>
      <c r="L10" s="38">
        <f>ROUND(L12*4,4)</f>
        <v>-0.4352</v>
      </c>
      <c r="M10" s="38">
        <f>ROUND(M12*4,4)</f>
        <v>0.9664</v>
      </c>
      <c r="N10" s="110">
        <f aca="true" t="shared" si="1" ref="N10:N18">ROUND(SUM(K10:M10),4)</f>
        <v>1.7242</v>
      </c>
      <c r="O10">
        <v>0.04</v>
      </c>
      <c r="P10" s="34">
        <f>ROUND((N10-($W$10*4)+(INPUT!E$83))/(1-INPUT!$B$56),2)</f>
        <v>1.35</v>
      </c>
      <c r="Q10" s="110">
        <v>2.5729</v>
      </c>
      <c r="R10">
        <v>0.04</v>
      </c>
      <c r="S10" s="34">
        <v>2.75</v>
      </c>
      <c r="T10" s="110">
        <f>N10-Q10</f>
        <v>-0.8487000000000002</v>
      </c>
      <c r="U10" s="34">
        <f>P10-S10</f>
        <v>-1.4</v>
      </c>
      <c r="W10">
        <v>0.101</v>
      </c>
      <c r="Y10">
        <f>N10*0.88</f>
        <v>1.517296</v>
      </c>
    </row>
    <row r="11" spans="1:21" ht="14.25" thickBot="1" thickTop="1">
      <c r="A11" s="263"/>
      <c r="B11" s="266"/>
      <c r="C11" s="18" t="s">
        <v>63</v>
      </c>
      <c r="D11" s="99">
        <f>'CNTNR COST'!G9</f>
        <v>0.5993</v>
      </c>
      <c r="E11" s="27">
        <v>0</v>
      </c>
      <c r="F11" s="243">
        <v>-0.0561</v>
      </c>
      <c r="G11" s="27">
        <f>ROUND($G$12*2,4)</f>
        <v>0</v>
      </c>
      <c r="H11" s="27">
        <f>ROUND($H$12*2,4)</f>
        <v>0.0204</v>
      </c>
      <c r="I11" s="27">
        <f aca="true" t="shared" si="2" ref="I11:I18">ROUND(SUM(D11:H11),4)</f>
        <v>0.5636</v>
      </c>
      <c r="J11" s="27">
        <f t="shared" si="0"/>
        <v>0.0204</v>
      </c>
      <c r="K11" s="27">
        <f aca="true" t="shared" si="3" ref="K11:K18">ROUND(I11+J11,4)</f>
        <v>0.584</v>
      </c>
      <c r="L11" s="27">
        <f>ROUND(L12*2,4)</f>
        <v>-0.2176</v>
      </c>
      <c r="M11" s="27">
        <f>ROUND(M12*2,4)</f>
        <v>0.4832</v>
      </c>
      <c r="N11" s="111">
        <f t="shared" si="1"/>
        <v>0.8496</v>
      </c>
      <c r="O11">
        <f>O10/2</f>
        <v>0.02</v>
      </c>
      <c r="P11" s="35">
        <f>ROUND((N11-($W$10*2)+(INPUT!E$84))/(1-INPUT!$B$56),2)</f>
        <v>0.66</v>
      </c>
      <c r="Q11" s="111">
        <v>1.3264</v>
      </c>
      <c r="R11">
        <v>0.02</v>
      </c>
      <c r="S11" s="35">
        <v>1.42</v>
      </c>
      <c r="T11" s="110">
        <f aca="true" t="shared" si="4" ref="T11:T101">N11-Q11</f>
        <v>-0.4768</v>
      </c>
      <c r="U11" s="34">
        <f aca="true" t="shared" si="5" ref="U11:U101">P11-S11</f>
        <v>-0.7599999999999999</v>
      </c>
    </row>
    <row r="12" spans="1:21" ht="14.25" thickBot="1" thickTop="1">
      <c r="A12" s="263"/>
      <c r="B12" s="266"/>
      <c r="C12" s="18" t="s">
        <v>16</v>
      </c>
      <c r="D12" s="99">
        <f>'CNTNR COST'!G10</f>
        <v>0.2997</v>
      </c>
      <c r="E12" s="27">
        <v>0</v>
      </c>
      <c r="F12" s="243">
        <v>0.0448</v>
      </c>
      <c r="G12" s="27">
        <f>ENERGY_ADDON</f>
        <v>0</v>
      </c>
      <c r="H12" s="27">
        <f>COST_UPDATE_ADJ</f>
        <v>0.0102</v>
      </c>
      <c r="I12" s="27">
        <f t="shared" si="2"/>
        <v>0.3547</v>
      </c>
      <c r="J12" s="27">
        <f t="shared" si="0"/>
        <v>0.0129</v>
      </c>
      <c r="K12" s="27">
        <f t="shared" si="3"/>
        <v>0.3676</v>
      </c>
      <c r="L12" s="27">
        <v>-0.1088</v>
      </c>
      <c r="M12" s="27">
        <v>0.2416</v>
      </c>
      <c r="N12" s="111">
        <f t="shared" si="1"/>
        <v>0.5004</v>
      </c>
      <c r="O12">
        <f>O11/2</f>
        <v>0.01</v>
      </c>
      <c r="P12" s="35">
        <f>ROUND((N12-($W$10)+(INPUT!E$85))/(1-INPUT!$B$56),2)</f>
        <v>0.41</v>
      </c>
      <c r="Q12" s="111">
        <v>0.6998</v>
      </c>
      <c r="R12">
        <v>0.01</v>
      </c>
      <c r="S12" s="35">
        <v>0.75</v>
      </c>
      <c r="T12" s="110">
        <f t="shared" si="4"/>
        <v>-0.19940000000000002</v>
      </c>
      <c r="U12" s="34">
        <f t="shared" si="5"/>
        <v>-0.34</v>
      </c>
    </row>
    <row r="13" spans="1:21" ht="14.25" thickBot="1" thickTop="1">
      <c r="A13" s="263"/>
      <c r="B13" s="266"/>
      <c r="C13" s="18" t="s">
        <v>17</v>
      </c>
      <c r="D13" s="99">
        <f>'CNTNR COST'!G11</f>
        <v>0.1499</v>
      </c>
      <c r="E13" s="27">
        <v>0</v>
      </c>
      <c r="F13" s="243">
        <v>0.1138</v>
      </c>
      <c r="G13" s="27">
        <f>ROUND($G$12/2,4)</f>
        <v>0</v>
      </c>
      <c r="H13" s="27">
        <f>ROUND($H$12/2,4)</f>
        <v>0.0051</v>
      </c>
      <c r="I13" s="27">
        <f t="shared" si="2"/>
        <v>0.2688</v>
      </c>
      <c r="J13" s="27">
        <f t="shared" si="0"/>
        <v>0.0097</v>
      </c>
      <c r="K13" s="27">
        <f t="shared" si="3"/>
        <v>0.2785</v>
      </c>
      <c r="L13" s="27">
        <f>ROUND(L12/2,4)</f>
        <v>-0.0544</v>
      </c>
      <c r="M13" s="27">
        <f>ROUND(M12/2,4)</f>
        <v>0.1208</v>
      </c>
      <c r="N13" s="111">
        <f t="shared" si="1"/>
        <v>0.3449</v>
      </c>
      <c r="O13">
        <f>O12/2</f>
        <v>0.005</v>
      </c>
      <c r="P13" s="35">
        <f>ROUND((N13-($W$10/2)+(INPUT!E$86))/(1-INPUT!$B$56),2)</f>
        <v>0.3</v>
      </c>
      <c r="Q13" s="111">
        <v>0.3853</v>
      </c>
      <c r="R13">
        <v>0.005</v>
      </c>
      <c r="S13" s="35">
        <v>0.41</v>
      </c>
      <c r="T13" s="110">
        <f t="shared" si="4"/>
        <v>-0.04039999999999999</v>
      </c>
      <c r="U13" s="34">
        <f t="shared" si="5"/>
        <v>-0.10999999999999999</v>
      </c>
    </row>
    <row r="14" spans="1:21" ht="14.25" thickBot="1" thickTop="1">
      <c r="A14" s="263"/>
      <c r="B14" s="266"/>
      <c r="C14" s="18" t="s">
        <v>161</v>
      </c>
      <c r="D14" s="99">
        <f>'CNTNR COST'!G12</f>
        <v>0.1754</v>
      </c>
      <c r="E14" s="27"/>
      <c r="F14" s="243"/>
      <c r="G14" s="27">
        <f>ROUND($G$12/32*12,4)</f>
        <v>0</v>
      </c>
      <c r="H14" s="27">
        <f>ROUND($H$12/32*12,4)</f>
        <v>0.0038</v>
      </c>
      <c r="I14" s="27">
        <f>ROUND(SUM(D14:H14),4)</f>
        <v>0.1792</v>
      </c>
      <c r="J14" s="27">
        <f t="shared" si="0"/>
        <v>0.0065</v>
      </c>
      <c r="K14" s="27">
        <f>ROUND(I14+J14,4)</f>
        <v>0.1857</v>
      </c>
      <c r="L14" s="27">
        <f>ROUND(L12/32*12,4)</f>
        <v>-0.0408</v>
      </c>
      <c r="M14" s="27">
        <f>ROUND(M12/32*12,4)</f>
        <v>0.0906</v>
      </c>
      <c r="N14" s="111">
        <f t="shared" si="1"/>
        <v>0.2355</v>
      </c>
      <c r="P14" s="134">
        <f>IF(ROUND((N14-(($W$10/32)*12)+(INPUT!E$87))/(1-INPUT!$B$56),2)&gt;N14,ROUND((N14-($W$10/32*12)+(INPUT!$E$87))/(1-INPUT!$B$56),2),ROUND(N14+0.01,2))</f>
        <v>0.25</v>
      </c>
      <c r="Q14" s="111"/>
      <c r="S14" s="35"/>
      <c r="T14" s="110"/>
      <c r="U14" s="34"/>
    </row>
    <row r="15" spans="1:21" ht="14.25" thickBot="1" thickTop="1">
      <c r="A15" s="263"/>
      <c r="B15" s="266"/>
      <c r="C15" s="18" t="s">
        <v>64</v>
      </c>
      <c r="D15" s="99">
        <f>'CNTNR COST'!G13</f>
        <v>0.1246</v>
      </c>
      <c r="E15" s="27">
        <v>0</v>
      </c>
      <c r="F15" s="243"/>
      <c r="G15" s="27">
        <f>ROUND($G$12/32*10,4)</f>
        <v>0</v>
      </c>
      <c r="H15" s="27">
        <f>ROUND($H$12/32*10,4)</f>
        <v>0.0032</v>
      </c>
      <c r="I15" s="27">
        <f t="shared" si="2"/>
        <v>0.1278</v>
      </c>
      <c r="J15" s="27">
        <f t="shared" si="0"/>
        <v>0.0046</v>
      </c>
      <c r="K15" s="27">
        <f t="shared" si="3"/>
        <v>0.1324</v>
      </c>
      <c r="L15" s="27">
        <f>ROUND(L12/32*10,4)</f>
        <v>-0.034</v>
      </c>
      <c r="M15" s="27">
        <f>ROUND(M12/32*10,4)</f>
        <v>0.0755</v>
      </c>
      <c r="N15" s="111">
        <f t="shared" si="1"/>
        <v>0.1739</v>
      </c>
      <c r="O15">
        <f>O12/32*10</f>
        <v>0.003125</v>
      </c>
      <c r="P15" s="134">
        <f>IF(ROUND((N15-($W$10/32*10)+(INPUT!E$88))/(1-INPUT!$B$56),2)&gt;N15,ROUND((N15-($W$10/32*10)+(INPUT!E$88))/(1-INPUT!$B$56),2),ROUND(N15+0.01,2))</f>
        <v>0.18</v>
      </c>
      <c r="Q15" s="111">
        <v>0.2327</v>
      </c>
      <c r="R15">
        <v>0.003125</v>
      </c>
      <c r="S15" s="134">
        <v>0.25</v>
      </c>
      <c r="T15" s="110">
        <f t="shared" si="4"/>
        <v>-0.05879999999999999</v>
      </c>
      <c r="U15" s="34">
        <f t="shared" si="5"/>
        <v>-0.07</v>
      </c>
    </row>
    <row r="16" spans="1:21" ht="14.25" thickBot="1" thickTop="1">
      <c r="A16" s="263"/>
      <c r="B16" s="266"/>
      <c r="C16" s="18" t="s">
        <v>65</v>
      </c>
      <c r="D16" s="99">
        <f>'CNTNR COST'!G14</f>
        <v>0.0749</v>
      </c>
      <c r="E16" s="27">
        <v>0</v>
      </c>
      <c r="F16" s="243">
        <v>0.0246</v>
      </c>
      <c r="G16" s="27">
        <f>ROUND($G$12/4,4)</f>
        <v>0</v>
      </c>
      <c r="H16" s="27">
        <f>ROUND($H$12/4,4)</f>
        <v>0.0026</v>
      </c>
      <c r="I16" s="27">
        <f t="shared" si="2"/>
        <v>0.1021</v>
      </c>
      <c r="J16" s="27">
        <f t="shared" si="0"/>
        <v>0.0037</v>
      </c>
      <c r="K16" s="27">
        <f t="shared" si="3"/>
        <v>0.1058</v>
      </c>
      <c r="L16" s="27">
        <f>ROUND(L13/2,4)</f>
        <v>-0.0272</v>
      </c>
      <c r="M16" s="27">
        <f>ROUND(M13/2,4)</f>
        <v>0.0604</v>
      </c>
      <c r="N16" s="111">
        <f t="shared" si="1"/>
        <v>0.139</v>
      </c>
      <c r="O16">
        <f>O13/2</f>
        <v>0.0025</v>
      </c>
      <c r="P16" s="134">
        <f>IF(ROUND((N16-($W$10/4)+(INPUT!E$89))/(1-INPUT!$B$56),2)&gt;N16,ROUND((N16-($W$10/4)+(INPUT!E$89))/(1-INPUT!$B$56),2),ROUND(N16+0.01,2))</f>
        <v>0.15</v>
      </c>
      <c r="Q16" s="111">
        <v>0.189</v>
      </c>
      <c r="R16">
        <v>0.0025</v>
      </c>
      <c r="S16" s="134">
        <v>0.2</v>
      </c>
      <c r="T16" s="110">
        <f t="shared" si="4"/>
        <v>-0.04999999999999999</v>
      </c>
      <c r="U16" s="34">
        <f t="shared" si="5"/>
        <v>-0.05000000000000002</v>
      </c>
    </row>
    <row r="17" spans="1:21" ht="14.25" thickBot="1" thickTop="1">
      <c r="A17" s="263"/>
      <c r="B17" s="266"/>
      <c r="C17" s="18" t="s">
        <v>66</v>
      </c>
      <c r="D17" s="99">
        <f>'CNTNR COST'!G15</f>
        <v>0.0706</v>
      </c>
      <c r="E17" s="27">
        <v>0</v>
      </c>
      <c r="F17" s="243">
        <v>0.0379</v>
      </c>
      <c r="G17" s="27">
        <f>ROUND($G$12/8,4)</f>
        <v>0</v>
      </c>
      <c r="H17" s="27">
        <f>ROUND($H$12/8,4)</f>
        <v>0.0013</v>
      </c>
      <c r="I17" s="27">
        <f t="shared" si="2"/>
        <v>0.1098</v>
      </c>
      <c r="J17" s="27">
        <f t="shared" si="0"/>
        <v>0.004</v>
      </c>
      <c r="K17" s="27">
        <f t="shared" si="3"/>
        <v>0.1138</v>
      </c>
      <c r="L17" s="27">
        <f>ROUND(L16/2,4)</f>
        <v>-0.0136</v>
      </c>
      <c r="M17" s="27">
        <f>ROUND(M16/2,4)</f>
        <v>0.0302</v>
      </c>
      <c r="N17" s="111">
        <f t="shared" si="1"/>
        <v>0.1304</v>
      </c>
      <c r="O17">
        <f>O16/2</f>
        <v>0.00125</v>
      </c>
      <c r="P17" s="134">
        <f>IF(ROUND((N17-($W$10/8)+(INPUT!E$90))/(1-INPUT!$B$56),2)&gt;N17,ROUND((N17-($W$10/8)+(INPUT!E$90))/(1-INPUT!$B$56),2),ROUND(N17+0.01,2))</f>
        <v>0.14</v>
      </c>
      <c r="Q17" s="111">
        <v>0.1154</v>
      </c>
      <c r="R17">
        <v>0.00125</v>
      </c>
      <c r="S17" s="134">
        <v>0.12</v>
      </c>
      <c r="T17" s="110">
        <f t="shared" si="4"/>
        <v>0.014999999999999986</v>
      </c>
      <c r="U17" s="34">
        <f t="shared" si="5"/>
        <v>0.020000000000000018</v>
      </c>
    </row>
    <row r="18" spans="1:21" ht="14.25" thickBot="1" thickTop="1">
      <c r="A18" s="264"/>
      <c r="B18" s="267"/>
      <c r="C18" s="18" t="s">
        <v>92</v>
      </c>
      <c r="D18" s="100">
        <f>'CNTNR COST'!G16</f>
        <v>0.3735</v>
      </c>
      <c r="E18" s="39">
        <v>0</v>
      </c>
      <c r="F18" s="244">
        <v>0.121</v>
      </c>
      <c r="G18" s="39">
        <f>ROUND($G$12,4)</f>
        <v>0</v>
      </c>
      <c r="H18" s="39">
        <f>ROUND($H$12,4)</f>
        <v>0.0102</v>
      </c>
      <c r="I18" s="39">
        <f t="shared" si="2"/>
        <v>0.5047</v>
      </c>
      <c r="J18" s="39">
        <f t="shared" si="0"/>
        <v>0.0183</v>
      </c>
      <c r="K18" s="39">
        <f t="shared" si="3"/>
        <v>0.523</v>
      </c>
      <c r="L18" s="39">
        <f>+L12</f>
        <v>-0.1088</v>
      </c>
      <c r="M18" s="39">
        <f>+M12</f>
        <v>0.2416</v>
      </c>
      <c r="N18" s="112">
        <f t="shared" si="1"/>
        <v>0.6558</v>
      </c>
      <c r="O18">
        <f>+O12</f>
        <v>0.01</v>
      </c>
      <c r="P18" s="37">
        <f>ROUND((N18-($W$10)+(INPUT!E$91))/(1-INPUT!$B$56),2)</f>
        <v>0.57</v>
      </c>
      <c r="Q18" s="112">
        <v>0.6861</v>
      </c>
      <c r="R18">
        <v>0.01</v>
      </c>
      <c r="S18" s="37">
        <v>0.73</v>
      </c>
      <c r="T18" s="110">
        <f t="shared" si="4"/>
        <v>-0.030299999999999994</v>
      </c>
      <c r="U18" s="34">
        <f t="shared" si="5"/>
        <v>-0.16000000000000003</v>
      </c>
    </row>
    <row r="19" spans="3:21" ht="14.25" thickBot="1" thickTop="1">
      <c r="C19" s="176"/>
      <c r="D19" s="40"/>
      <c r="Q19" s="109"/>
      <c r="T19" s="110" t="s">
        <v>12</v>
      </c>
      <c r="U19" s="34" t="s">
        <v>12</v>
      </c>
    </row>
    <row r="20" spans="1:21" ht="14.25" thickBot="1" thickTop="1">
      <c r="A20" s="262" t="s">
        <v>138</v>
      </c>
      <c r="B20" s="265" t="s">
        <v>137</v>
      </c>
      <c r="C20" s="18" t="s">
        <v>14</v>
      </c>
      <c r="D20" s="98">
        <f>'CNTNR COST'!G18</f>
        <v>1.1995</v>
      </c>
      <c r="E20" s="38">
        <v>0</v>
      </c>
      <c r="F20" s="22">
        <f>+$F$10</f>
        <v>-0.0882</v>
      </c>
      <c r="G20" s="38">
        <f>ROUND($G$12*4,4)</f>
        <v>0</v>
      </c>
      <c r="H20" s="38">
        <f>ROUND($H$12*4,4)</f>
        <v>0.0408</v>
      </c>
      <c r="I20" s="38">
        <f>ROUND(SUM(D20:H20),4)</f>
        <v>1.1521</v>
      </c>
      <c r="J20" s="38">
        <f aca="true" t="shared" si="6" ref="J20:J28">ROUND((I20/(1-$J$5))-I20,4)</f>
        <v>0.0418</v>
      </c>
      <c r="K20" s="38">
        <f>ROUND(I20+J20,4)</f>
        <v>1.1939</v>
      </c>
      <c r="L20" s="38">
        <f>ROUND(L$12*4,4)</f>
        <v>-0.4352</v>
      </c>
      <c r="M20" s="38">
        <f>ROUND(M$12*4,4)</f>
        <v>0.9664</v>
      </c>
      <c r="N20" s="110">
        <f aca="true" t="shared" si="7" ref="N20:N28">ROUND(SUM(K20:M20),4)</f>
        <v>1.7251</v>
      </c>
      <c r="P20" s="34">
        <f>ROUND((N20-($W$10*4)+(INPUT!E$83))/(1-INPUT!$B$56),2)</f>
        <v>1.35</v>
      </c>
      <c r="Q20" s="110">
        <v>2.4611</v>
      </c>
      <c r="S20" s="34">
        <v>2.64</v>
      </c>
      <c r="T20" s="110">
        <f t="shared" si="4"/>
        <v>-0.736</v>
      </c>
      <c r="U20" s="34">
        <f t="shared" si="5"/>
        <v>-1.29</v>
      </c>
    </row>
    <row r="21" spans="1:21" ht="14.25" thickBot="1" thickTop="1">
      <c r="A21" s="263"/>
      <c r="B21" s="266"/>
      <c r="C21" s="18" t="s">
        <v>63</v>
      </c>
      <c r="D21" s="99">
        <f>'CNTNR COST'!G19</f>
        <v>0.5997</v>
      </c>
      <c r="E21" s="27">
        <v>0</v>
      </c>
      <c r="F21" s="23">
        <f>+$F$11</f>
        <v>-0.0561</v>
      </c>
      <c r="G21" s="27">
        <f>ROUND($G$12*2,4)</f>
        <v>0</v>
      </c>
      <c r="H21" s="27">
        <f>ROUND($H$12*2,4)</f>
        <v>0.0204</v>
      </c>
      <c r="I21" s="27">
        <f aca="true" t="shared" si="8" ref="I21:I28">ROUND(SUM(D21:H21),4)</f>
        <v>0.564</v>
      </c>
      <c r="J21" s="27">
        <f t="shared" si="6"/>
        <v>0.0205</v>
      </c>
      <c r="K21" s="27">
        <f aca="true" t="shared" si="9" ref="K21:K28">ROUND(I21+J21,4)</f>
        <v>0.5845</v>
      </c>
      <c r="L21" s="27">
        <f>ROUND(L$12*2,4)</f>
        <v>-0.2176</v>
      </c>
      <c r="M21" s="27">
        <f>ROUND(M$12*2,4)</f>
        <v>0.4832</v>
      </c>
      <c r="N21" s="111">
        <f t="shared" si="7"/>
        <v>0.8501</v>
      </c>
      <c r="P21" s="35">
        <f>ROUND((N21-($W$10*2)+(INPUT!E$84))/(1-INPUT!$B$56),2)</f>
        <v>0.66</v>
      </c>
      <c r="Q21" s="111">
        <v>1.2705</v>
      </c>
      <c r="S21" s="35">
        <v>1.36</v>
      </c>
      <c r="T21" s="110">
        <f t="shared" si="4"/>
        <v>-0.4204</v>
      </c>
      <c r="U21" s="34">
        <f t="shared" si="5"/>
        <v>-0.7000000000000001</v>
      </c>
    </row>
    <row r="22" spans="1:21" ht="14.25" thickBot="1" thickTop="1">
      <c r="A22" s="263"/>
      <c r="B22" s="266"/>
      <c r="C22" s="18" t="s">
        <v>16</v>
      </c>
      <c r="D22" s="99">
        <f>'CNTNR COST'!G20</f>
        <v>0.2999</v>
      </c>
      <c r="E22" s="27">
        <v>0</v>
      </c>
      <c r="F22" s="23">
        <f>+$F$12</f>
        <v>0.0448</v>
      </c>
      <c r="G22" s="27">
        <f>ENERGY_ADDON</f>
        <v>0</v>
      </c>
      <c r="H22" s="27">
        <f>COST_UPDATE_ADJ</f>
        <v>0.0102</v>
      </c>
      <c r="I22" s="27">
        <f t="shared" si="8"/>
        <v>0.3549</v>
      </c>
      <c r="J22" s="27">
        <f t="shared" si="6"/>
        <v>0.0129</v>
      </c>
      <c r="K22" s="27">
        <f t="shared" si="9"/>
        <v>0.3678</v>
      </c>
      <c r="L22" s="27">
        <f>$L$12</f>
        <v>-0.1088</v>
      </c>
      <c r="M22" s="27">
        <f>$M$12</f>
        <v>0.2416</v>
      </c>
      <c r="N22" s="111">
        <f t="shared" si="7"/>
        <v>0.5006</v>
      </c>
      <c r="P22" s="35">
        <f>ROUND((N22-($W$10)+(INPUT!E$85))/(1-INPUT!$B$56),2)</f>
        <v>0.41</v>
      </c>
      <c r="Q22" s="111">
        <v>0.6719</v>
      </c>
      <c r="S22" s="35">
        <v>0.72</v>
      </c>
      <c r="T22" s="110">
        <f t="shared" si="4"/>
        <v>-0.1713</v>
      </c>
      <c r="U22" s="34">
        <f t="shared" si="5"/>
        <v>-0.31</v>
      </c>
    </row>
    <row r="23" spans="1:21" ht="14.25" thickBot="1" thickTop="1">
      <c r="A23" s="263"/>
      <c r="B23" s="266"/>
      <c r="C23" s="18" t="s">
        <v>17</v>
      </c>
      <c r="D23" s="99">
        <f>'CNTNR COST'!G21</f>
        <v>0.15</v>
      </c>
      <c r="E23" s="27">
        <v>0</v>
      </c>
      <c r="F23" s="23">
        <f>+$F$13</f>
        <v>0.1138</v>
      </c>
      <c r="G23" s="27">
        <f>ROUND($G$12/2,4)</f>
        <v>0</v>
      </c>
      <c r="H23" s="27">
        <f>ROUND($H$12/2,4)</f>
        <v>0.0051</v>
      </c>
      <c r="I23" s="27">
        <f t="shared" si="8"/>
        <v>0.2689</v>
      </c>
      <c r="J23" s="27">
        <f t="shared" si="6"/>
        <v>0.0098</v>
      </c>
      <c r="K23" s="27">
        <f t="shared" si="9"/>
        <v>0.2787</v>
      </c>
      <c r="L23" s="27">
        <f>ROUND(L$12/2,4)</f>
        <v>-0.0544</v>
      </c>
      <c r="M23" s="27">
        <f>ROUND(M$12/2,4)</f>
        <v>0.1208</v>
      </c>
      <c r="N23" s="111">
        <f t="shared" si="7"/>
        <v>0.3451</v>
      </c>
      <c r="P23" s="35">
        <f>ROUND((N23-($W$10/2)+(INPUT!E$86))/(1-INPUT!$B$56),2)</f>
        <v>0.3</v>
      </c>
      <c r="Q23" s="111">
        <v>0.3713</v>
      </c>
      <c r="S23" s="35">
        <v>0.39</v>
      </c>
      <c r="T23" s="110">
        <f t="shared" si="4"/>
        <v>-0.0262</v>
      </c>
      <c r="U23" s="34">
        <f t="shared" si="5"/>
        <v>-0.09000000000000002</v>
      </c>
    </row>
    <row r="24" spans="1:21" ht="14.25" thickBot="1" thickTop="1">
      <c r="A24" s="263"/>
      <c r="B24" s="266"/>
      <c r="C24" s="18" t="s">
        <v>161</v>
      </c>
      <c r="D24" s="99">
        <f>'CNTNR COST'!G22</f>
        <v>0.1755</v>
      </c>
      <c r="E24" s="27">
        <f>ROUND(E22/32*12,4)</f>
        <v>0</v>
      </c>
      <c r="F24" s="27">
        <f>+$F$14</f>
        <v>0</v>
      </c>
      <c r="G24" s="27">
        <f>ROUND($G$12/32*12,4)</f>
        <v>0</v>
      </c>
      <c r="H24" s="27">
        <f>ROUND($H$12/32*12,4)</f>
        <v>0.0038</v>
      </c>
      <c r="I24" s="27">
        <f t="shared" si="8"/>
        <v>0.1793</v>
      </c>
      <c r="J24" s="27">
        <f t="shared" si="6"/>
        <v>0.0065</v>
      </c>
      <c r="K24" s="27">
        <f t="shared" si="9"/>
        <v>0.1858</v>
      </c>
      <c r="L24" s="27">
        <f>ROUND(L22/32*12,4)</f>
        <v>-0.0408</v>
      </c>
      <c r="M24" s="27">
        <f>ROUND(M22/32*12,4)</f>
        <v>0.0906</v>
      </c>
      <c r="N24" s="111">
        <f t="shared" si="7"/>
        <v>0.2356</v>
      </c>
      <c r="P24" s="134">
        <f>IF(ROUND((N24-(($W$10/32)*12)+(INPUT!E$87))/(1-INPUT!$B$56),2)&gt;N24,ROUND((N24-($W$10/32*12)+(INPUT!$E$87))/(1-INPUT!$B$56),2),ROUND(N24+0.01,2))</f>
        <v>0.25</v>
      </c>
      <c r="Q24" s="111"/>
      <c r="S24" s="35"/>
      <c r="T24" s="110"/>
      <c r="U24" s="34"/>
    </row>
    <row r="25" spans="1:21" ht="14.25" thickBot="1" thickTop="1">
      <c r="A25" s="263"/>
      <c r="B25" s="266"/>
      <c r="C25" s="18" t="s">
        <v>64</v>
      </c>
      <c r="D25" s="99">
        <f>'CNTNR COST'!G23</f>
        <v>0.1246</v>
      </c>
      <c r="E25" s="27">
        <v>0</v>
      </c>
      <c r="F25" s="23">
        <f>+$F$15</f>
        <v>0</v>
      </c>
      <c r="G25" s="27">
        <f>ROUND($G$12/32*10,4)</f>
        <v>0</v>
      </c>
      <c r="H25" s="27">
        <f>ROUND($H$12/32*10,4)</f>
        <v>0.0032</v>
      </c>
      <c r="I25" s="27">
        <f t="shared" si="8"/>
        <v>0.1278</v>
      </c>
      <c r="J25" s="27">
        <f t="shared" si="6"/>
        <v>0.0046</v>
      </c>
      <c r="K25" s="27">
        <f t="shared" si="9"/>
        <v>0.1324</v>
      </c>
      <c r="L25" s="27">
        <f>ROUND(L22/32*10,4)</f>
        <v>-0.034</v>
      </c>
      <c r="M25" s="27">
        <f>ROUND(M22/32*10,4)</f>
        <v>0.0755</v>
      </c>
      <c r="N25" s="111">
        <f t="shared" si="7"/>
        <v>0.1739</v>
      </c>
      <c r="P25" s="134">
        <f>IF(ROUND((N25-($W$10/32*10)+(INPUT!E$88))/(1-INPUT!$B$56),2)&gt;N25,ROUND((N25-($W$10/32*10)+(INPUT!E$88))/(1-INPUT!$B$56),2),ROUND(N25+0.01,2))</f>
        <v>0.18</v>
      </c>
      <c r="Q25" s="111">
        <v>0.2241</v>
      </c>
      <c r="S25" s="134">
        <v>0.24</v>
      </c>
      <c r="T25" s="110">
        <f t="shared" si="4"/>
        <v>-0.050199999999999995</v>
      </c>
      <c r="U25" s="34">
        <f t="shared" si="5"/>
        <v>-0.06</v>
      </c>
    </row>
    <row r="26" spans="1:21" ht="14.25" thickBot="1" thickTop="1">
      <c r="A26" s="263"/>
      <c r="B26" s="266"/>
      <c r="C26" s="18" t="s">
        <v>65</v>
      </c>
      <c r="D26" s="99">
        <f>'CNTNR COST'!G24</f>
        <v>0.075</v>
      </c>
      <c r="E26" s="27">
        <v>0</v>
      </c>
      <c r="F26" s="23">
        <f>+$F$16</f>
        <v>0.0246</v>
      </c>
      <c r="G26" s="27">
        <f>ROUND($G$12/4,4)</f>
        <v>0</v>
      </c>
      <c r="H26" s="27">
        <f>ROUND($H$12/4,4)</f>
        <v>0.0026</v>
      </c>
      <c r="I26" s="27">
        <f t="shared" si="8"/>
        <v>0.1022</v>
      </c>
      <c r="J26" s="27">
        <f t="shared" si="6"/>
        <v>0.0037</v>
      </c>
      <c r="K26" s="27">
        <f t="shared" si="9"/>
        <v>0.1059</v>
      </c>
      <c r="L26" s="27">
        <f>ROUND(L$12/4,4)</f>
        <v>-0.0272</v>
      </c>
      <c r="M26" s="27">
        <f>ROUND(M$12/4,4)</f>
        <v>0.0604</v>
      </c>
      <c r="N26" s="111">
        <f t="shared" si="7"/>
        <v>0.1391</v>
      </c>
      <c r="P26" s="134">
        <f>IF(ROUND((N26-($W$10/4)+(INPUT!E$89))/(1-INPUT!$B$56),2)&gt;N26,ROUND((N26-($W$10/4)+(INPUT!E$89))/(1-INPUT!$B$56),2),ROUND(N26+0.01,2))</f>
        <v>0.15</v>
      </c>
      <c r="Q26" s="111">
        <v>0.1819</v>
      </c>
      <c r="S26" s="134">
        <v>0.19</v>
      </c>
      <c r="T26" s="110">
        <f t="shared" si="4"/>
        <v>-0.042800000000000005</v>
      </c>
      <c r="U26" s="34">
        <f t="shared" si="5"/>
        <v>-0.04000000000000001</v>
      </c>
    </row>
    <row r="27" spans="1:21" ht="14.25" thickBot="1" thickTop="1">
      <c r="A27" s="263"/>
      <c r="B27" s="266"/>
      <c r="C27" s="18" t="s">
        <v>66</v>
      </c>
      <c r="D27" s="99">
        <f>'CNTNR COST'!G25</f>
        <v>0.0706</v>
      </c>
      <c r="E27" s="27">
        <v>0</v>
      </c>
      <c r="F27" s="23">
        <f>+$F$17</f>
        <v>0.0379</v>
      </c>
      <c r="G27" s="27">
        <f>ROUND($G$12/8,4)</f>
        <v>0</v>
      </c>
      <c r="H27" s="27">
        <f>ROUND($H$12/8,4)</f>
        <v>0.0013</v>
      </c>
      <c r="I27" s="27">
        <f t="shared" si="8"/>
        <v>0.1098</v>
      </c>
      <c r="J27" s="27">
        <f t="shared" si="6"/>
        <v>0.004</v>
      </c>
      <c r="K27" s="27">
        <f t="shared" si="9"/>
        <v>0.1138</v>
      </c>
      <c r="L27" s="27">
        <f>ROUND(L$12/8,4)</f>
        <v>-0.0136</v>
      </c>
      <c r="M27" s="27">
        <f>ROUND(M$12/8,4)</f>
        <v>0.0302</v>
      </c>
      <c r="N27" s="111">
        <f t="shared" si="7"/>
        <v>0.1304</v>
      </c>
      <c r="P27" s="134">
        <f>IF(ROUND((N27-($W$10/8)+(INPUT!E$90))/(1-INPUT!$B$56),2)&gt;N27,ROUND((N27-($W$10/8)+(INPUT!E$90))/(1-INPUT!$B$56),2),ROUND(N27+0.01,2))</f>
        <v>0.14</v>
      </c>
      <c r="Q27" s="111">
        <v>0.1121</v>
      </c>
      <c r="S27" s="134">
        <v>0.12</v>
      </c>
      <c r="T27" s="110">
        <f t="shared" si="4"/>
        <v>0.018299999999999983</v>
      </c>
      <c r="U27" s="34">
        <f t="shared" si="5"/>
        <v>0.020000000000000018</v>
      </c>
    </row>
    <row r="28" spans="1:21" ht="14.25" thickBot="1" thickTop="1">
      <c r="A28" s="264"/>
      <c r="B28" s="267"/>
      <c r="C28" s="18" t="s">
        <v>92</v>
      </c>
      <c r="D28" s="100">
        <f>'CNTNR COST'!G26</f>
        <v>0.3737</v>
      </c>
      <c r="E28" s="39">
        <v>0</v>
      </c>
      <c r="F28" s="36">
        <f>+$F$18</f>
        <v>0.121</v>
      </c>
      <c r="G28" s="39">
        <f>ROUND($G$12,4)</f>
        <v>0</v>
      </c>
      <c r="H28" s="39">
        <f>ROUND($H$12,4)</f>
        <v>0.0102</v>
      </c>
      <c r="I28" s="39">
        <f t="shared" si="8"/>
        <v>0.5049</v>
      </c>
      <c r="J28" s="39">
        <f t="shared" si="6"/>
        <v>0.0183</v>
      </c>
      <c r="K28" s="39">
        <f t="shared" si="9"/>
        <v>0.5232</v>
      </c>
      <c r="L28" s="39">
        <f>L$12</f>
        <v>-0.1088</v>
      </c>
      <c r="M28" s="39">
        <f>M$12</f>
        <v>0.2416</v>
      </c>
      <c r="N28" s="112">
        <f t="shared" si="7"/>
        <v>0.656</v>
      </c>
      <c r="P28" s="37">
        <f>ROUND((N28-($W$10)+(INPUT!E$91))/(1-INPUT!$B$56),2)</f>
        <v>0.57</v>
      </c>
      <c r="Q28" s="112">
        <v>0.6581</v>
      </c>
      <c r="S28" s="37">
        <v>0.7</v>
      </c>
      <c r="T28" s="110">
        <f t="shared" si="4"/>
        <v>-0.0020999999999999908</v>
      </c>
      <c r="U28" s="34">
        <f t="shared" si="5"/>
        <v>-0.13</v>
      </c>
    </row>
    <row r="29" spans="3:21" ht="14.25" thickBot="1" thickTop="1">
      <c r="C29" s="176"/>
      <c r="D29" s="40"/>
      <c r="Q29" s="109"/>
      <c r="T29" s="110" t="s">
        <v>12</v>
      </c>
      <c r="U29" s="34" t="s">
        <v>12</v>
      </c>
    </row>
    <row r="30" spans="1:21" ht="14.25" thickBot="1" thickTop="1">
      <c r="A30" s="262" t="s">
        <v>140</v>
      </c>
      <c r="B30" s="265" t="s">
        <v>137</v>
      </c>
      <c r="C30" s="18" t="s">
        <v>14</v>
      </c>
      <c r="D30" s="98">
        <f>'CNTNR COST'!G28</f>
        <v>1.1995</v>
      </c>
      <c r="E30" s="38">
        <v>0</v>
      </c>
      <c r="F30" s="22">
        <f>+$F$10</f>
        <v>-0.0882</v>
      </c>
      <c r="G30" s="38">
        <f>ROUND($G$12*4,4)</f>
        <v>0</v>
      </c>
      <c r="H30" s="38">
        <f>ROUND($H$12*4,4)</f>
        <v>0.0408</v>
      </c>
      <c r="I30" s="38">
        <f>ROUND(SUM(D30:H30),4)</f>
        <v>1.1521</v>
      </c>
      <c r="J30" s="38">
        <f aca="true" t="shared" si="10" ref="J30:J38">ROUND((I30/(1-$J$5))-I30,4)</f>
        <v>0.0418</v>
      </c>
      <c r="K30" s="38">
        <f>ROUND(I30+J30,4)</f>
        <v>1.1939</v>
      </c>
      <c r="L30" s="38">
        <f>ROUND(L$12*4,4)</f>
        <v>-0.4352</v>
      </c>
      <c r="M30" s="38">
        <f>ROUND(M$12*4,4)</f>
        <v>0.9664</v>
      </c>
      <c r="N30" s="110">
        <f aca="true" t="shared" si="11" ref="N30:N38">ROUND(SUM(K30:M30),4)</f>
        <v>1.7251</v>
      </c>
      <c r="P30" s="34">
        <f>ROUND((N30-($W$10*4)+(INPUT!E$83))/(1-INPUT!$B$56),2)</f>
        <v>1.35</v>
      </c>
      <c r="Q30" s="110">
        <v>2.3693</v>
      </c>
      <c r="S30" s="34">
        <v>2.54</v>
      </c>
      <c r="T30" s="110">
        <f t="shared" si="4"/>
        <v>-0.6441999999999999</v>
      </c>
      <c r="U30" s="34">
        <f t="shared" si="5"/>
        <v>-1.19</v>
      </c>
    </row>
    <row r="31" spans="1:21" ht="14.25" thickBot="1" thickTop="1">
      <c r="A31" s="263"/>
      <c r="B31" s="266"/>
      <c r="C31" s="18" t="s">
        <v>63</v>
      </c>
      <c r="D31" s="99">
        <f>'CNTNR COST'!G29</f>
        <v>0.5997</v>
      </c>
      <c r="E31" s="27">
        <v>0</v>
      </c>
      <c r="F31" s="23">
        <f>+$F$11</f>
        <v>-0.0561</v>
      </c>
      <c r="G31" s="27">
        <f>ROUND($G$12*2,4)</f>
        <v>0</v>
      </c>
      <c r="H31" s="27">
        <f>ROUND($H$12*2,4)</f>
        <v>0.0204</v>
      </c>
      <c r="I31" s="27">
        <f aca="true" t="shared" si="12" ref="I31:I38">ROUND(SUM(D31:H31),4)</f>
        <v>0.564</v>
      </c>
      <c r="J31" s="27">
        <f t="shared" si="10"/>
        <v>0.0205</v>
      </c>
      <c r="K31" s="27">
        <f aca="true" t="shared" si="13" ref="K31:K38">ROUND(I31+J31,4)</f>
        <v>0.5845</v>
      </c>
      <c r="L31" s="27">
        <f>ROUND(L$12*2,4)</f>
        <v>-0.2176</v>
      </c>
      <c r="M31" s="27">
        <f>ROUND(M$12*2,4)</f>
        <v>0.4832</v>
      </c>
      <c r="N31" s="111">
        <f t="shared" si="11"/>
        <v>0.8501</v>
      </c>
      <c r="P31" s="35">
        <f>ROUND((N31-($W$10*2)+(INPUT!E$84))/(1-INPUT!$B$56),2)</f>
        <v>0.66</v>
      </c>
      <c r="Q31" s="111">
        <v>1.2246</v>
      </c>
      <c r="S31" s="35">
        <v>1.31</v>
      </c>
      <c r="T31" s="110">
        <f t="shared" si="4"/>
        <v>-0.37449999999999994</v>
      </c>
      <c r="U31" s="34">
        <f t="shared" si="5"/>
        <v>-0.65</v>
      </c>
    </row>
    <row r="32" spans="1:21" ht="14.25" thickBot="1" thickTop="1">
      <c r="A32" s="263"/>
      <c r="B32" s="266"/>
      <c r="C32" s="18" t="s">
        <v>16</v>
      </c>
      <c r="D32" s="99">
        <f>'CNTNR COST'!G30</f>
        <v>0.2999</v>
      </c>
      <c r="E32" s="27">
        <v>0</v>
      </c>
      <c r="F32" s="23">
        <f>+$F$12</f>
        <v>0.0448</v>
      </c>
      <c r="G32" s="27">
        <f>ENERGY_ADDON</f>
        <v>0</v>
      </c>
      <c r="H32" s="27">
        <f>COST_UPDATE_ADJ</f>
        <v>0.0102</v>
      </c>
      <c r="I32" s="27">
        <f t="shared" si="12"/>
        <v>0.3549</v>
      </c>
      <c r="J32" s="27">
        <f t="shared" si="10"/>
        <v>0.0129</v>
      </c>
      <c r="K32" s="27">
        <f t="shared" si="13"/>
        <v>0.3678</v>
      </c>
      <c r="L32" s="27">
        <f>$L$12</f>
        <v>-0.1088</v>
      </c>
      <c r="M32" s="27">
        <f>$M$12</f>
        <v>0.2416</v>
      </c>
      <c r="N32" s="111">
        <f t="shared" si="11"/>
        <v>0.5006</v>
      </c>
      <c r="P32" s="35">
        <f>ROUND((N32-($W$10)+(INPUT!E$85))/(1-INPUT!$B$56),2)</f>
        <v>0.41</v>
      </c>
      <c r="Q32" s="111">
        <v>0.6489</v>
      </c>
      <c r="S32" s="35">
        <v>0.69</v>
      </c>
      <c r="T32" s="110">
        <f t="shared" si="4"/>
        <v>-0.1483</v>
      </c>
      <c r="U32" s="34">
        <f t="shared" si="5"/>
        <v>-0.27999999999999997</v>
      </c>
    </row>
    <row r="33" spans="1:21" ht="14.25" thickBot="1" thickTop="1">
      <c r="A33" s="263"/>
      <c r="B33" s="266"/>
      <c r="C33" s="18" t="s">
        <v>17</v>
      </c>
      <c r="D33" s="99">
        <f>'CNTNR COST'!G31</f>
        <v>0.15</v>
      </c>
      <c r="E33" s="27">
        <v>0</v>
      </c>
      <c r="F33" s="23">
        <f>+$F$13</f>
        <v>0.1138</v>
      </c>
      <c r="G33" s="27">
        <f>ROUND($G$12/2,4)</f>
        <v>0</v>
      </c>
      <c r="H33" s="27">
        <f>ROUND($H$12/2,4)</f>
        <v>0.0051</v>
      </c>
      <c r="I33" s="27">
        <f t="shared" si="12"/>
        <v>0.2689</v>
      </c>
      <c r="J33" s="27">
        <f t="shared" si="10"/>
        <v>0.0098</v>
      </c>
      <c r="K33" s="27">
        <f t="shared" si="13"/>
        <v>0.2787</v>
      </c>
      <c r="L33" s="27">
        <f>ROUND(L$12/2,4)</f>
        <v>-0.0544</v>
      </c>
      <c r="M33" s="27">
        <f>ROUND(M$12/2,4)</f>
        <v>0.1208</v>
      </c>
      <c r="N33" s="111">
        <f t="shared" si="11"/>
        <v>0.3451</v>
      </c>
      <c r="P33" s="35">
        <f>ROUND((N33-($W$10/2)+(INPUT!E$86))/(1-INPUT!$B$56),2)</f>
        <v>0.3</v>
      </c>
      <c r="Q33" s="111">
        <v>0.3598</v>
      </c>
      <c r="S33" s="35">
        <v>0.38</v>
      </c>
      <c r="T33" s="110">
        <f t="shared" si="4"/>
        <v>-0.01469999999999999</v>
      </c>
      <c r="U33" s="34">
        <f t="shared" si="5"/>
        <v>-0.08000000000000002</v>
      </c>
    </row>
    <row r="34" spans="1:21" ht="14.25" thickBot="1" thickTop="1">
      <c r="A34" s="263"/>
      <c r="B34" s="266"/>
      <c r="C34" s="18" t="s">
        <v>161</v>
      </c>
      <c r="D34" s="99">
        <f>'CNTNR COST'!G32</f>
        <v>0.1755</v>
      </c>
      <c r="E34" s="27">
        <f>ROUND(E32/32*12,4)</f>
        <v>0</v>
      </c>
      <c r="F34" s="27">
        <f>+$F$14</f>
        <v>0</v>
      </c>
      <c r="G34" s="27">
        <f>ROUND($G$12/32*12,4)</f>
        <v>0</v>
      </c>
      <c r="H34" s="27">
        <f>ROUND($H$12/32*12,4)</f>
        <v>0.0038</v>
      </c>
      <c r="I34" s="27">
        <f t="shared" si="12"/>
        <v>0.1793</v>
      </c>
      <c r="J34" s="27">
        <f t="shared" si="10"/>
        <v>0.0065</v>
      </c>
      <c r="K34" s="27">
        <f t="shared" si="13"/>
        <v>0.1858</v>
      </c>
      <c r="L34" s="27">
        <f>ROUND(L32/32*12,4)</f>
        <v>-0.0408</v>
      </c>
      <c r="M34" s="27">
        <f>ROUND(M32/32*12,4)</f>
        <v>0.0906</v>
      </c>
      <c r="N34" s="111">
        <f t="shared" si="11"/>
        <v>0.2356</v>
      </c>
      <c r="P34" s="134">
        <f>IF(ROUND((N34-(($W$10/32)*12)+(INPUT!E$87))/(1-INPUT!$B$56),2)&gt;N34,ROUND((N34-($W$10/32*12)+(INPUT!$E$87))/(1-INPUT!$B$56),2),ROUND(N34+0.01,2))</f>
        <v>0.25</v>
      </c>
      <c r="Q34" s="111"/>
      <c r="S34" s="35"/>
      <c r="T34" s="110"/>
      <c r="U34" s="34"/>
    </row>
    <row r="35" spans="1:21" ht="14.25" thickBot="1" thickTop="1">
      <c r="A35" s="263"/>
      <c r="B35" s="266"/>
      <c r="C35" s="18" t="s">
        <v>64</v>
      </c>
      <c r="D35" s="99">
        <f>'CNTNR COST'!G33</f>
        <v>0.1246</v>
      </c>
      <c r="E35" s="27">
        <v>0</v>
      </c>
      <c r="F35" s="23">
        <f>+$F$15</f>
        <v>0</v>
      </c>
      <c r="G35" s="27">
        <f>ROUND($G$12/32*10,4)</f>
        <v>0</v>
      </c>
      <c r="H35" s="27">
        <f>ROUND($H$12/32*10,4)</f>
        <v>0.0032</v>
      </c>
      <c r="I35" s="27">
        <f t="shared" si="12"/>
        <v>0.1278</v>
      </c>
      <c r="J35" s="27">
        <f t="shared" si="10"/>
        <v>0.0046</v>
      </c>
      <c r="K35" s="27">
        <f t="shared" si="13"/>
        <v>0.1324</v>
      </c>
      <c r="L35" s="27">
        <f>ROUND(L32/32*10,4)</f>
        <v>-0.034</v>
      </c>
      <c r="M35" s="27">
        <f>ROUND(M32/32*10,4)</f>
        <v>0.0755</v>
      </c>
      <c r="N35" s="111">
        <f t="shared" si="11"/>
        <v>0.1739</v>
      </c>
      <c r="P35" s="134">
        <f>IF(ROUND((N35-($W$10/32*10)+(INPUT!E$88))/(1-INPUT!$B$56),2)&gt;N35,ROUND((N35-($W$10/32*10)+(INPUT!E$88))/(1-INPUT!$B$56),2),ROUND(N35+0.01,2))</f>
        <v>0.18</v>
      </c>
      <c r="Q35" s="111">
        <v>0.2168</v>
      </c>
      <c r="S35" s="134">
        <v>0.23</v>
      </c>
      <c r="T35" s="110">
        <f t="shared" si="4"/>
        <v>-0.042899999999999994</v>
      </c>
      <c r="U35" s="34">
        <f t="shared" si="5"/>
        <v>-0.05000000000000002</v>
      </c>
    </row>
    <row r="36" spans="1:21" ht="14.25" thickBot="1" thickTop="1">
      <c r="A36" s="263"/>
      <c r="B36" s="266"/>
      <c r="C36" s="18" t="s">
        <v>65</v>
      </c>
      <c r="D36" s="99">
        <f>'CNTNR COST'!G34</f>
        <v>0.075</v>
      </c>
      <c r="E36" s="27">
        <v>0</v>
      </c>
      <c r="F36" s="23">
        <f>+$F$16</f>
        <v>0.0246</v>
      </c>
      <c r="G36" s="27">
        <f>ROUND($G$12/4,4)</f>
        <v>0</v>
      </c>
      <c r="H36" s="27">
        <f>ROUND($H$12/4,4)</f>
        <v>0.0026</v>
      </c>
      <c r="I36" s="27">
        <f t="shared" si="12"/>
        <v>0.1022</v>
      </c>
      <c r="J36" s="27">
        <f t="shared" si="10"/>
        <v>0.0037</v>
      </c>
      <c r="K36" s="27">
        <f t="shared" si="13"/>
        <v>0.1059</v>
      </c>
      <c r="L36" s="27">
        <f>ROUND(L$12/4,4)</f>
        <v>-0.0272</v>
      </c>
      <c r="M36" s="27">
        <f>ROUND(M$12/4,4)</f>
        <v>0.0604</v>
      </c>
      <c r="N36" s="111">
        <f t="shared" si="11"/>
        <v>0.1391</v>
      </c>
      <c r="P36" s="134">
        <f>IF(ROUND((N36-($W$10/4)+(INPUT!E$89))/(1-INPUT!$B$56),2)&gt;N36,ROUND((N36-($W$10/4)+(INPUT!E$89))/(1-INPUT!$B$56),2),ROUND(N36+0.01,2))</f>
        <v>0.15</v>
      </c>
      <c r="Q36" s="111">
        <v>0.1762</v>
      </c>
      <c r="S36" s="134">
        <v>0.19</v>
      </c>
      <c r="T36" s="110">
        <f t="shared" si="4"/>
        <v>-0.037099999999999994</v>
      </c>
      <c r="U36" s="34">
        <f t="shared" si="5"/>
        <v>-0.04000000000000001</v>
      </c>
    </row>
    <row r="37" spans="1:21" ht="14.25" thickBot="1" thickTop="1">
      <c r="A37" s="263"/>
      <c r="B37" s="266"/>
      <c r="C37" s="18" t="s">
        <v>66</v>
      </c>
      <c r="D37" s="99">
        <f>'CNTNR COST'!G35</f>
        <v>0.0706</v>
      </c>
      <c r="E37" s="27">
        <v>0</v>
      </c>
      <c r="F37" s="23">
        <f>+$F$17</f>
        <v>0.0379</v>
      </c>
      <c r="G37" s="27">
        <f>ROUND($G$12/8,4)</f>
        <v>0</v>
      </c>
      <c r="H37" s="27">
        <f>ROUND($H$12/8,4)</f>
        <v>0.0013</v>
      </c>
      <c r="I37" s="27">
        <f t="shared" si="12"/>
        <v>0.1098</v>
      </c>
      <c r="J37" s="27">
        <f t="shared" si="10"/>
        <v>0.004</v>
      </c>
      <c r="K37" s="27">
        <f t="shared" si="13"/>
        <v>0.1138</v>
      </c>
      <c r="L37" s="27">
        <f>ROUND(L$12/8,4)</f>
        <v>-0.0136</v>
      </c>
      <c r="M37" s="27">
        <f>ROUND(M$12/8,4)</f>
        <v>0.0302</v>
      </c>
      <c r="N37" s="111">
        <f t="shared" si="11"/>
        <v>0.1304</v>
      </c>
      <c r="P37" s="134">
        <f>IF(ROUND((N37-($W$10/8)+(INPUT!E$90))/(1-INPUT!$B$56),2)&gt;N37,ROUND((N37-($W$10/8)+(INPUT!E$90))/(1-INPUT!$B$56),2),ROUND(N37+0.01,2))</f>
        <v>0.14</v>
      </c>
      <c r="Q37" s="111">
        <v>0.1092</v>
      </c>
      <c r="S37" s="134">
        <v>0.12</v>
      </c>
      <c r="T37" s="110">
        <f t="shared" si="4"/>
        <v>0.021199999999999983</v>
      </c>
      <c r="U37" s="34">
        <f t="shared" si="5"/>
        <v>0.020000000000000018</v>
      </c>
    </row>
    <row r="38" spans="1:21" ht="14.25" thickBot="1" thickTop="1">
      <c r="A38" s="264"/>
      <c r="B38" s="267"/>
      <c r="C38" s="18" t="s">
        <v>92</v>
      </c>
      <c r="D38" s="100">
        <f>'CNTNR COST'!G36</f>
        <v>0.3737</v>
      </c>
      <c r="E38" s="39">
        <v>0</v>
      </c>
      <c r="F38" s="36">
        <f>+$F$18</f>
        <v>0.121</v>
      </c>
      <c r="G38" s="39">
        <f>ROUND($G$12,4)</f>
        <v>0</v>
      </c>
      <c r="H38" s="39">
        <f>ROUND($H$12,4)</f>
        <v>0.0102</v>
      </c>
      <c r="I38" s="39">
        <f t="shared" si="12"/>
        <v>0.5049</v>
      </c>
      <c r="J38" s="39">
        <f t="shared" si="10"/>
        <v>0.0183</v>
      </c>
      <c r="K38" s="39">
        <f t="shared" si="13"/>
        <v>0.5232</v>
      </c>
      <c r="L38" s="39">
        <f>L$12</f>
        <v>-0.1088</v>
      </c>
      <c r="M38" s="39">
        <f>M$12</f>
        <v>0.2416</v>
      </c>
      <c r="N38" s="112">
        <f t="shared" si="11"/>
        <v>0.656</v>
      </c>
      <c r="P38" s="37">
        <f>ROUND((N38-($W$10)+(INPUT!E$91))/(1-INPUT!$B$56),2)</f>
        <v>0.57</v>
      </c>
      <c r="Q38" s="112">
        <v>0.6352</v>
      </c>
      <c r="S38" s="37">
        <v>0.68</v>
      </c>
      <c r="T38" s="110">
        <f t="shared" si="4"/>
        <v>0.02080000000000004</v>
      </c>
      <c r="U38" s="34">
        <f t="shared" si="5"/>
        <v>-0.1100000000000001</v>
      </c>
    </row>
    <row r="39" spans="3:21" ht="14.25" thickBot="1" thickTop="1">
      <c r="C39" s="176"/>
      <c r="D39" s="40"/>
      <c r="Q39" s="109"/>
      <c r="T39" s="110" t="s">
        <v>12</v>
      </c>
      <c r="U39" s="34" t="s">
        <v>12</v>
      </c>
    </row>
    <row r="40" spans="1:21" ht="14.25" thickBot="1" thickTop="1">
      <c r="A40" s="262" t="s">
        <v>139</v>
      </c>
      <c r="B40" s="265" t="s">
        <v>137</v>
      </c>
      <c r="C40" s="18" t="s">
        <v>14</v>
      </c>
      <c r="D40" s="98">
        <f>'CNTNR COST'!G38</f>
        <v>1.2271</v>
      </c>
      <c r="E40" s="38">
        <v>0</v>
      </c>
      <c r="F40" s="22">
        <f>+$F$10</f>
        <v>-0.0882</v>
      </c>
      <c r="G40" s="38">
        <f>ROUND($G$12*4,4)</f>
        <v>0</v>
      </c>
      <c r="H40" s="38">
        <f>ROUND($H$12*4,4)</f>
        <v>0.0408</v>
      </c>
      <c r="I40" s="38">
        <f>ROUND(SUM(D40:H40),4)</f>
        <v>1.1797</v>
      </c>
      <c r="J40" s="38">
        <f aca="true" t="shared" si="14" ref="J40:J48">ROUND((I40/(1-$J$5))-I40,4)</f>
        <v>0.0428</v>
      </c>
      <c r="K40" s="38">
        <f>ROUND(I40+J40,4)</f>
        <v>1.2225</v>
      </c>
      <c r="L40" s="38">
        <f>ROUND(L$12*4,4)</f>
        <v>-0.4352</v>
      </c>
      <c r="M40" s="38">
        <f>ROUND(M$12*4,4)</f>
        <v>0.9664</v>
      </c>
      <c r="N40" s="110">
        <f aca="true" t="shared" si="15" ref="N40:N48">ROUND(SUM(K40:M40),4)</f>
        <v>1.7537</v>
      </c>
      <c r="P40" s="34">
        <f>ROUND((N40-($W$10*4)+(INPUT!E$83))/(1-INPUT!$B$56),2)</f>
        <v>1.38</v>
      </c>
      <c r="Q40" s="110">
        <v>2.3055</v>
      </c>
      <c r="S40" s="34">
        <v>2.48</v>
      </c>
      <c r="T40" s="110">
        <f t="shared" si="4"/>
        <v>-0.5517999999999998</v>
      </c>
      <c r="U40" s="34">
        <f t="shared" si="5"/>
        <v>-1.1</v>
      </c>
    </row>
    <row r="41" spans="1:21" ht="14.25" thickBot="1" thickTop="1">
      <c r="A41" s="263"/>
      <c r="B41" s="266"/>
      <c r="C41" s="18" t="s">
        <v>63</v>
      </c>
      <c r="D41" s="99">
        <f>'CNTNR COST'!G39</f>
        <v>0.6136</v>
      </c>
      <c r="E41" s="27">
        <v>0</v>
      </c>
      <c r="F41" s="23">
        <f>+$F$11</f>
        <v>-0.0561</v>
      </c>
      <c r="G41" s="27">
        <f>ROUND($G$12*2,4)</f>
        <v>0</v>
      </c>
      <c r="H41" s="27">
        <f>ROUND($H$12*2,4)</f>
        <v>0.0204</v>
      </c>
      <c r="I41" s="27">
        <f aca="true" t="shared" si="16" ref="I41:I48">ROUND(SUM(D41:H41),4)</f>
        <v>0.5779</v>
      </c>
      <c r="J41" s="27">
        <f t="shared" si="14"/>
        <v>0.021</v>
      </c>
      <c r="K41" s="27">
        <f aca="true" t="shared" si="17" ref="K41:K48">ROUND(I41+J41,4)</f>
        <v>0.5989</v>
      </c>
      <c r="L41" s="27">
        <f>ROUND(L$12*2,4)</f>
        <v>-0.2176</v>
      </c>
      <c r="M41" s="27">
        <f>ROUND(M$12*2,4)</f>
        <v>0.4832</v>
      </c>
      <c r="N41" s="111">
        <f t="shared" si="15"/>
        <v>0.8645</v>
      </c>
      <c r="P41" s="35">
        <f>ROUND((N41-($W$10*2)+(INPUT!E$84))/(1-INPUT!$B$56),2)</f>
        <v>0.68</v>
      </c>
      <c r="Q41" s="111">
        <v>1.1927</v>
      </c>
      <c r="S41" s="35">
        <v>1.28</v>
      </c>
      <c r="T41" s="110">
        <f t="shared" si="4"/>
        <v>-0.32820000000000005</v>
      </c>
      <c r="U41" s="34">
        <f t="shared" si="5"/>
        <v>-0.6</v>
      </c>
    </row>
    <row r="42" spans="1:21" ht="14.25" thickBot="1" thickTop="1">
      <c r="A42" s="263"/>
      <c r="B42" s="266"/>
      <c r="C42" s="18" t="s">
        <v>16</v>
      </c>
      <c r="D42" s="99">
        <f>'CNTNR COST'!G40</f>
        <v>0.3068</v>
      </c>
      <c r="E42" s="27">
        <v>0</v>
      </c>
      <c r="F42" s="23">
        <f>+$F$12</f>
        <v>0.0448</v>
      </c>
      <c r="G42" s="27">
        <f>ENERGY_ADDON</f>
        <v>0</v>
      </c>
      <c r="H42" s="27">
        <f>COST_UPDATE_ADJ</f>
        <v>0.0102</v>
      </c>
      <c r="I42" s="27">
        <f t="shared" si="16"/>
        <v>0.3618</v>
      </c>
      <c r="J42" s="27">
        <f t="shared" si="14"/>
        <v>0.0131</v>
      </c>
      <c r="K42" s="27">
        <f t="shared" si="17"/>
        <v>0.3749</v>
      </c>
      <c r="L42" s="27">
        <f>$L$12</f>
        <v>-0.1088</v>
      </c>
      <c r="M42" s="27">
        <f>$M$12</f>
        <v>0.2416</v>
      </c>
      <c r="N42" s="111">
        <f t="shared" si="15"/>
        <v>0.5077</v>
      </c>
      <c r="P42" s="35">
        <f>ROUND((N42-($W$10)+(INPUT!E$85))/(1-INPUT!$B$56),2)</f>
        <v>0.42</v>
      </c>
      <c r="Q42" s="111">
        <v>0.633</v>
      </c>
      <c r="S42" s="35">
        <v>0.68</v>
      </c>
      <c r="T42" s="110">
        <f t="shared" si="4"/>
        <v>-0.12529999999999997</v>
      </c>
      <c r="U42" s="34">
        <f t="shared" si="5"/>
        <v>-0.26000000000000006</v>
      </c>
    </row>
    <row r="43" spans="1:21" ht="14.25" thickBot="1" thickTop="1">
      <c r="A43" s="263"/>
      <c r="B43" s="266"/>
      <c r="C43" s="18" t="s">
        <v>17</v>
      </c>
      <c r="D43" s="99">
        <f>'CNTNR COST'!G41</f>
        <v>0.1534</v>
      </c>
      <c r="E43" s="27">
        <v>0</v>
      </c>
      <c r="F43" s="23">
        <f>+$F$13</f>
        <v>0.1138</v>
      </c>
      <c r="G43" s="27">
        <f>ROUND($G$12/2,4)</f>
        <v>0</v>
      </c>
      <c r="H43" s="27">
        <f>ROUND($H$12/2,4)</f>
        <v>0.0051</v>
      </c>
      <c r="I43" s="27">
        <f t="shared" si="16"/>
        <v>0.2723</v>
      </c>
      <c r="J43" s="27">
        <f t="shared" si="14"/>
        <v>0.0099</v>
      </c>
      <c r="K43" s="27">
        <f t="shared" si="17"/>
        <v>0.2822</v>
      </c>
      <c r="L43" s="27">
        <f>ROUND(L$12/2,4)</f>
        <v>-0.0544</v>
      </c>
      <c r="M43" s="27">
        <f>ROUND(M$12/2,4)</f>
        <v>0.1208</v>
      </c>
      <c r="N43" s="111">
        <f t="shared" si="15"/>
        <v>0.3486</v>
      </c>
      <c r="P43" s="35">
        <f>ROUND((N43-($W$10/2)+(INPUT!E$86))/(1-INPUT!$B$56),2)</f>
        <v>0.31</v>
      </c>
      <c r="Q43" s="111">
        <v>0.3518</v>
      </c>
      <c r="S43" s="35">
        <v>0.37</v>
      </c>
      <c r="T43" s="110">
        <f t="shared" si="4"/>
        <v>-0.0031999999999999806</v>
      </c>
      <c r="U43" s="34">
        <f t="shared" si="5"/>
        <v>-0.06</v>
      </c>
    </row>
    <row r="44" spans="1:21" ht="14.25" thickBot="1" thickTop="1">
      <c r="A44" s="263"/>
      <c r="B44" s="266"/>
      <c r="C44" s="18" t="s">
        <v>161</v>
      </c>
      <c r="D44" s="99">
        <f>'CNTNR COST'!G42</f>
        <v>0.1781</v>
      </c>
      <c r="E44" s="27">
        <f>ROUND(E42/32*12,4)</f>
        <v>0</v>
      </c>
      <c r="F44" s="27">
        <f>+$F$14</f>
        <v>0</v>
      </c>
      <c r="G44" s="27">
        <f>ROUND($G$12/32*12,4)</f>
        <v>0</v>
      </c>
      <c r="H44" s="27">
        <f>ROUND($H$12/32*12,4)</f>
        <v>0.0038</v>
      </c>
      <c r="I44" s="27">
        <f t="shared" si="16"/>
        <v>0.1819</v>
      </c>
      <c r="J44" s="27">
        <f t="shared" si="14"/>
        <v>0.0066</v>
      </c>
      <c r="K44" s="27">
        <f t="shared" si="17"/>
        <v>0.1885</v>
      </c>
      <c r="L44" s="27">
        <f>ROUND(L42/32*12,4)</f>
        <v>-0.0408</v>
      </c>
      <c r="M44" s="27">
        <f>ROUND(M42/32*12,4)</f>
        <v>0.0906</v>
      </c>
      <c r="N44" s="111">
        <f t="shared" si="15"/>
        <v>0.2383</v>
      </c>
      <c r="P44" s="134">
        <f>IF(ROUND((N44-(($W$10/32)*12)+(INPUT!E$87))/(1-INPUT!$B$56),2)&gt;N44,ROUND((N44-($W$10/32*12)+(INPUT!$E$87))/(1-INPUT!$B$56),2),ROUND(N44+0.01,2))</f>
        <v>0.25</v>
      </c>
      <c r="Q44" s="111"/>
      <c r="S44" s="35"/>
      <c r="T44" s="110"/>
      <c r="U44" s="34"/>
    </row>
    <row r="45" spans="1:21" ht="14.25" thickBot="1" thickTop="1">
      <c r="A45" s="263"/>
      <c r="B45" s="266"/>
      <c r="C45" s="18" t="s">
        <v>64</v>
      </c>
      <c r="D45" s="99">
        <f>'CNTNR COST'!G43</f>
        <v>0.1268</v>
      </c>
      <c r="E45" s="27">
        <v>0</v>
      </c>
      <c r="F45" s="23">
        <f>+$F$15</f>
        <v>0</v>
      </c>
      <c r="G45" s="27">
        <f>ROUND($G$12/32*10,4)</f>
        <v>0</v>
      </c>
      <c r="H45" s="27">
        <f>ROUND($H$12/32*10,4)</f>
        <v>0.0032</v>
      </c>
      <c r="I45" s="27">
        <f t="shared" si="16"/>
        <v>0.13</v>
      </c>
      <c r="J45" s="27">
        <f t="shared" si="14"/>
        <v>0.0047</v>
      </c>
      <c r="K45" s="27">
        <f t="shared" si="17"/>
        <v>0.1347</v>
      </c>
      <c r="L45" s="27">
        <f>ROUND(L42/32*10,4)</f>
        <v>-0.034</v>
      </c>
      <c r="M45" s="27">
        <f>ROUND(M42/32*10,4)</f>
        <v>0.0755</v>
      </c>
      <c r="N45" s="111">
        <f t="shared" si="15"/>
        <v>0.1762</v>
      </c>
      <c r="P45" s="134">
        <f>IF(ROUND((N45-($W$10/32*10)+(INPUT!E$88))/(1-INPUT!$B$56),2)&gt;N45,ROUND((N45-($W$10/32*10)+(INPUT!E$88))/(1-INPUT!$B$56),2),ROUND(N45+0.01,2))</f>
        <v>0.19</v>
      </c>
      <c r="Q45" s="111">
        <v>0.2119</v>
      </c>
      <c r="S45" s="134">
        <v>0.23</v>
      </c>
      <c r="T45" s="110">
        <f t="shared" si="4"/>
        <v>-0.03570000000000001</v>
      </c>
      <c r="U45" s="34">
        <f t="shared" si="5"/>
        <v>-0.04000000000000001</v>
      </c>
    </row>
    <row r="46" spans="1:21" ht="14.25" thickBot="1" thickTop="1">
      <c r="A46" s="263"/>
      <c r="B46" s="266"/>
      <c r="C46" s="18" t="s">
        <v>65</v>
      </c>
      <c r="D46" s="99">
        <f>'CNTNR COST'!G44</f>
        <v>0.0767</v>
      </c>
      <c r="E46" s="27">
        <v>0</v>
      </c>
      <c r="F46" s="23">
        <f>+$F$16</f>
        <v>0.0246</v>
      </c>
      <c r="G46" s="27">
        <f>ROUND($G$12/4,4)</f>
        <v>0</v>
      </c>
      <c r="H46" s="27">
        <f>ROUND($H$12/4,4)</f>
        <v>0.0026</v>
      </c>
      <c r="I46" s="27">
        <f t="shared" si="16"/>
        <v>0.1039</v>
      </c>
      <c r="J46" s="27">
        <f t="shared" si="14"/>
        <v>0.0038</v>
      </c>
      <c r="K46" s="27">
        <f t="shared" si="17"/>
        <v>0.1077</v>
      </c>
      <c r="L46" s="27">
        <f>ROUND(L$12/4,4)</f>
        <v>-0.0272</v>
      </c>
      <c r="M46" s="27">
        <f>ROUND(M$12/4,4)</f>
        <v>0.0604</v>
      </c>
      <c r="N46" s="111">
        <f t="shared" si="15"/>
        <v>0.1409</v>
      </c>
      <c r="P46" s="134">
        <f>IF(ROUND((N46-($W$10/4)+(INPUT!E$89))/(1-INPUT!$B$56),2)&gt;N46,ROUND((N46-($W$10/4)+(INPUT!E$89))/(1-INPUT!$B$56),2),ROUND(N46+0.01,2))</f>
        <v>0.15</v>
      </c>
      <c r="Q46" s="111">
        <v>0.1722</v>
      </c>
      <c r="S46" s="134">
        <v>0.18</v>
      </c>
      <c r="T46" s="110">
        <f t="shared" si="4"/>
        <v>-0.031299999999999994</v>
      </c>
      <c r="U46" s="34">
        <f t="shared" si="5"/>
        <v>-0.03</v>
      </c>
    </row>
    <row r="47" spans="1:21" ht="14.25" thickBot="1" thickTop="1">
      <c r="A47" s="263"/>
      <c r="B47" s="266"/>
      <c r="C47" s="18" t="s">
        <v>66</v>
      </c>
      <c r="D47" s="99">
        <f>'CNTNR COST'!G45</f>
        <v>0.0715</v>
      </c>
      <c r="E47" s="27">
        <v>0</v>
      </c>
      <c r="F47" s="23">
        <f>+$F$17</f>
        <v>0.0379</v>
      </c>
      <c r="G47" s="27">
        <f>ROUND($G$12/8,4)</f>
        <v>0</v>
      </c>
      <c r="H47" s="27">
        <f>ROUND($H$12/8,4)</f>
        <v>0.0013</v>
      </c>
      <c r="I47" s="27">
        <f t="shared" si="16"/>
        <v>0.1107</v>
      </c>
      <c r="J47" s="27">
        <f t="shared" si="14"/>
        <v>0.004</v>
      </c>
      <c r="K47" s="27">
        <f t="shared" si="17"/>
        <v>0.1147</v>
      </c>
      <c r="L47" s="27">
        <f>ROUND(L$12/8,4)</f>
        <v>-0.0136</v>
      </c>
      <c r="M47" s="27">
        <f>ROUND(M$12/8,4)</f>
        <v>0.0302</v>
      </c>
      <c r="N47" s="111">
        <f t="shared" si="15"/>
        <v>0.1313</v>
      </c>
      <c r="P47" s="134">
        <f>IF(ROUND((N47-($W$10/8)+(INPUT!E$90))/(1-INPUT!$B$56),2)&gt;N47,ROUND((N47-($W$10/8)+(INPUT!E$90))/(1-INPUT!$B$56),2),ROUND(N47+0.01,2))</f>
        <v>0.14</v>
      </c>
      <c r="Q47" s="111">
        <v>0.1072</v>
      </c>
      <c r="S47" s="134">
        <v>0.11</v>
      </c>
      <c r="T47" s="110">
        <f t="shared" si="4"/>
        <v>0.024099999999999996</v>
      </c>
      <c r="U47" s="34">
        <f t="shared" si="5"/>
        <v>0.030000000000000013</v>
      </c>
    </row>
    <row r="48" spans="1:21" ht="14.25" thickBot="1" thickTop="1">
      <c r="A48" s="264"/>
      <c r="B48" s="267"/>
      <c r="C48" s="18" t="s">
        <v>92</v>
      </c>
      <c r="D48" s="100">
        <f>'CNTNR COST'!G46</f>
        <v>0.3806</v>
      </c>
      <c r="E48" s="39">
        <v>0</v>
      </c>
      <c r="F48" s="36">
        <f>+$F$18</f>
        <v>0.121</v>
      </c>
      <c r="G48" s="39">
        <f>ROUND($G$12,4)</f>
        <v>0</v>
      </c>
      <c r="H48" s="39">
        <f>ROUND($H$12,4)</f>
        <v>0.0102</v>
      </c>
      <c r="I48" s="39">
        <f t="shared" si="16"/>
        <v>0.5118</v>
      </c>
      <c r="J48" s="39">
        <f t="shared" si="14"/>
        <v>0.0186</v>
      </c>
      <c r="K48" s="39">
        <f t="shared" si="17"/>
        <v>0.5304</v>
      </c>
      <c r="L48" s="39">
        <f>L$12</f>
        <v>-0.1088</v>
      </c>
      <c r="M48" s="39">
        <f>M$12</f>
        <v>0.2416</v>
      </c>
      <c r="N48" s="112">
        <f t="shared" si="15"/>
        <v>0.6632</v>
      </c>
      <c r="P48" s="37">
        <f>ROUND((N48-($W$10)+(INPUT!E$91))/(1-INPUT!$B$56),2)</f>
        <v>0.58</v>
      </c>
      <c r="Q48" s="112">
        <v>0.6193</v>
      </c>
      <c r="S48" s="37">
        <v>0.66</v>
      </c>
      <c r="T48" s="110">
        <f t="shared" si="4"/>
        <v>0.04390000000000005</v>
      </c>
      <c r="U48" s="34">
        <f t="shared" si="5"/>
        <v>-0.08000000000000007</v>
      </c>
    </row>
    <row r="49" spans="3:21" ht="14.25" thickBot="1" thickTop="1">
      <c r="C49" s="176"/>
      <c r="D49" s="40"/>
      <c r="Q49" s="109"/>
      <c r="T49" s="110" t="s">
        <v>12</v>
      </c>
      <c r="U49" s="34" t="s">
        <v>12</v>
      </c>
    </row>
    <row r="50" spans="1:21" ht="14.25" thickBot="1" thickTop="1">
      <c r="A50" s="262" t="s">
        <v>141</v>
      </c>
      <c r="B50" s="265" t="s">
        <v>27</v>
      </c>
      <c r="C50" s="18" t="s">
        <v>14</v>
      </c>
      <c r="D50" s="98">
        <f>'CNTNR COST'!G49</f>
        <v>1.198</v>
      </c>
      <c r="E50" s="38">
        <v>0</v>
      </c>
      <c r="F50" s="22">
        <f>+$F$10</f>
        <v>-0.0882</v>
      </c>
      <c r="G50" s="38">
        <f>ROUND($G$12*4,4)</f>
        <v>0</v>
      </c>
      <c r="H50" s="38">
        <f>ROUND($H$12*4,4)</f>
        <v>0.0408</v>
      </c>
      <c r="I50" s="38">
        <f>ROUND(SUM(D50:H50),4)</f>
        <v>1.1506</v>
      </c>
      <c r="J50" s="38">
        <f aca="true" t="shared" si="18" ref="J50:J58">ROUND((I50/(1-$J$5))-I50,4)</f>
        <v>0.0417</v>
      </c>
      <c r="K50" s="38">
        <f>ROUND(I50+J50,4)</f>
        <v>1.1923</v>
      </c>
      <c r="L50" s="38">
        <f>ROUND(L$12*4,4)</f>
        <v>-0.4352</v>
      </c>
      <c r="M50" s="38">
        <f>ROUND(M$12*4,4)</f>
        <v>0.9664</v>
      </c>
      <c r="N50" s="110">
        <f aca="true" t="shared" si="19" ref="N50:N58">ROUND(SUM(K50:M50),4)</f>
        <v>1.7235</v>
      </c>
      <c r="P50" s="34">
        <f>ROUND((N50-($W$10*4)+(INPUT!E$83))/(1-INPUT!$B$56),2)</f>
        <v>1.35</v>
      </c>
      <c r="Q50" s="110">
        <v>2.6468</v>
      </c>
      <c r="S50" s="34">
        <v>2.83</v>
      </c>
      <c r="T50" s="110">
        <f t="shared" si="4"/>
        <v>-0.9232999999999998</v>
      </c>
      <c r="U50" s="34">
        <f t="shared" si="5"/>
        <v>-1.48</v>
      </c>
    </row>
    <row r="51" spans="1:21" ht="14.25" thickBot="1" thickTop="1">
      <c r="A51" s="263"/>
      <c r="B51" s="266"/>
      <c r="C51" s="18" t="s">
        <v>63</v>
      </c>
      <c r="D51" s="99">
        <f>'CNTNR COST'!G50</f>
        <v>0.599</v>
      </c>
      <c r="E51" s="27">
        <v>0</v>
      </c>
      <c r="F51" s="23">
        <f>+$F$11</f>
        <v>-0.0561</v>
      </c>
      <c r="G51" s="27">
        <f>ROUND($G$12*2,4)</f>
        <v>0</v>
      </c>
      <c r="H51" s="27">
        <f>ROUND($H$12*2,4)</f>
        <v>0.0204</v>
      </c>
      <c r="I51" s="27">
        <f aca="true" t="shared" si="20" ref="I51:I58">ROUND(SUM(D51:H51),4)</f>
        <v>0.5633</v>
      </c>
      <c r="J51" s="27">
        <f t="shared" si="18"/>
        <v>0.0204</v>
      </c>
      <c r="K51" s="27">
        <f aca="true" t="shared" si="21" ref="K51:K58">ROUND(I51+J51,4)</f>
        <v>0.5837</v>
      </c>
      <c r="L51" s="27">
        <f>ROUND(L$12*2,4)</f>
        <v>-0.2176</v>
      </c>
      <c r="M51" s="27">
        <f>ROUND(M$12*2,4)</f>
        <v>0.4832</v>
      </c>
      <c r="N51" s="111">
        <f t="shared" si="19"/>
        <v>0.8493</v>
      </c>
      <c r="P51" s="35">
        <f>ROUND((N51-($W$10*2)+(INPUT!E$84))/(1-INPUT!$B$56),2)</f>
        <v>0.66</v>
      </c>
      <c r="Q51" s="111">
        <v>1.3633</v>
      </c>
      <c r="S51" s="35">
        <v>1.45</v>
      </c>
      <c r="T51" s="110">
        <f t="shared" si="4"/>
        <v>-0.5139999999999999</v>
      </c>
      <c r="U51" s="34">
        <f t="shared" si="5"/>
        <v>-0.7899999999999999</v>
      </c>
    </row>
    <row r="52" spans="1:21" ht="14.25" thickBot="1" thickTop="1">
      <c r="A52" s="263"/>
      <c r="B52" s="266"/>
      <c r="C52" s="18" t="s">
        <v>16</v>
      </c>
      <c r="D52" s="99">
        <f>'CNTNR COST'!G51</f>
        <v>0.2995</v>
      </c>
      <c r="E52" s="27">
        <v>0</v>
      </c>
      <c r="F52" s="23">
        <f>+$F$12</f>
        <v>0.0448</v>
      </c>
      <c r="G52" s="27">
        <f>ENERGY_ADDON</f>
        <v>0</v>
      </c>
      <c r="H52" s="27">
        <f>COST_UPDATE_ADJ</f>
        <v>0.0102</v>
      </c>
      <c r="I52" s="27">
        <f t="shared" si="20"/>
        <v>0.3545</v>
      </c>
      <c r="J52" s="27">
        <f t="shared" si="18"/>
        <v>0.0129</v>
      </c>
      <c r="K52" s="27">
        <f t="shared" si="21"/>
        <v>0.3674</v>
      </c>
      <c r="L52" s="27">
        <f>$L$12</f>
        <v>-0.1088</v>
      </c>
      <c r="M52" s="27">
        <f>$M$12</f>
        <v>0.2416</v>
      </c>
      <c r="N52" s="111">
        <f t="shared" si="19"/>
        <v>0.5002</v>
      </c>
      <c r="P52" s="35">
        <f>ROUND((N52-($W$10)+(INPUT!E$85))/(1-INPUT!$B$56),2)</f>
        <v>0.41</v>
      </c>
      <c r="Q52" s="111">
        <v>0.7183</v>
      </c>
      <c r="S52" s="35">
        <v>0.76</v>
      </c>
      <c r="T52" s="110">
        <f t="shared" si="4"/>
        <v>-0.21810000000000007</v>
      </c>
      <c r="U52" s="34">
        <f t="shared" si="5"/>
        <v>-0.35000000000000003</v>
      </c>
    </row>
    <row r="53" spans="1:21" ht="14.25" thickBot="1" thickTop="1">
      <c r="A53" s="263"/>
      <c r="B53" s="266"/>
      <c r="C53" s="18" t="s">
        <v>17</v>
      </c>
      <c r="D53" s="99">
        <f>'CNTNR COST'!G52</f>
        <v>0.1498</v>
      </c>
      <c r="E53" s="27">
        <v>0</v>
      </c>
      <c r="F53" s="23">
        <f>+$F$13</f>
        <v>0.1138</v>
      </c>
      <c r="G53" s="27">
        <f>ROUND($G$12/2,4)</f>
        <v>0</v>
      </c>
      <c r="H53" s="27">
        <f>ROUND($H$12/2,4)</f>
        <v>0.0051</v>
      </c>
      <c r="I53" s="27">
        <f t="shared" si="20"/>
        <v>0.2687</v>
      </c>
      <c r="J53" s="27">
        <f t="shared" si="18"/>
        <v>0.0097</v>
      </c>
      <c r="K53" s="27">
        <f t="shared" si="21"/>
        <v>0.2784</v>
      </c>
      <c r="L53" s="27">
        <f>ROUND(L$12/2,4)</f>
        <v>-0.0544</v>
      </c>
      <c r="M53" s="27">
        <f>ROUND(M$12/2,4)</f>
        <v>0.1208</v>
      </c>
      <c r="N53" s="111">
        <f t="shared" si="19"/>
        <v>0.3448</v>
      </c>
      <c r="P53" s="35">
        <f>ROUND((N53-($W$10/2)+(INPUT!E$86))/(1-INPUT!$B$56),2)</f>
        <v>0.3</v>
      </c>
      <c r="Q53" s="111">
        <v>0.3945</v>
      </c>
      <c r="S53" s="35">
        <v>0.42</v>
      </c>
      <c r="T53" s="110">
        <f t="shared" si="4"/>
        <v>-0.04970000000000002</v>
      </c>
      <c r="U53" s="34">
        <f t="shared" si="5"/>
        <v>-0.12</v>
      </c>
    </row>
    <row r="54" spans="1:21" ht="14.25" thickBot="1" thickTop="1">
      <c r="A54" s="263"/>
      <c r="B54" s="266"/>
      <c r="C54" s="18" t="s">
        <v>161</v>
      </c>
      <c r="D54" s="99">
        <f>'CNTNR COST'!G53</f>
        <v>0.1754</v>
      </c>
      <c r="E54" s="27">
        <f>ROUND(E52/32*12,4)</f>
        <v>0</v>
      </c>
      <c r="F54" s="27">
        <f>+$F$14</f>
        <v>0</v>
      </c>
      <c r="G54" s="27">
        <f>ROUND($G$12/32*12,4)</f>
        <v>0</v>
      </c>
      <c r="H54" s="27">
        <f>ROUND($H$12/32*12,4)</f>
        <v>0.0038</v>
      </c>
      <c r="I54" s="27">
        <f t="shared" si="20"/>
        <v>0.1792</v>
      </c>
      <c r="J54" s="27">
        <f t="shared" si="18"/>
        <v>0.0065</v>
      </c>
      <c r="K54" s="27">
        <f t="shared" si="21"/>
        <v>0.1857</v>
      </c>
      <c r="L54" s="27">
        <f>ROUND(L52/32*12,4)</f>
        <v>-0.0408</v>
      </c>
      <c r="M54" s="27">
        <f>ROUND(M52/32*12,4)</f>
        <v>0.0906</v>
      </c>
      <c r="N54" s="111">
        <f t="shared" si="19"/>
        <v>0.2355</v>
      </c>
      <c r="P54" s="134">
        <f>IF(ROUND((N54-(($W$10/32)*12)+(INPUT!E$87))/(1-INPUT!$B$56),2)&gt;N54,ROUND((N54-($W$10/32*12)+(INPUT!$E$87))/(1-INPUT!$B$56),2),ROUND(N54+0.01,2))</f>
        <v>0.25</v>
      </c>
      <c r="Q54" s="111"/>
      <c r="S54" s="35"/>
      <c r="T54" s="110"/>
      <c r="U54" s="34"/>
    </row>
    <row r="55" spans="1:21" ht="14.25" thickBot="1" thickTop="1">
      <c r="A55" s="263"/>
      <c r="B55" s="266"/>
      <c r="C55" s="18" t="s">
        <v>64</v>
      </c>
      <c r="D55" s="99">
        <f>'CNTNR COST'!G54</f>
        <v>0.1245</v>
      </c>
      <c r="E55" s="27">
        <v>0</v>
      </c>
      <c r="F55" s="23">
        <f>+$F$15</f>
        <v>0</v>
      </c>
      <c r="G55" s="27">
        <f>ROUND($G$12/32*10,4)</f>
        <v>0</v>
      </c>
      <c r="H55" s="27">
        <f>ROUND($H$12/32*10,4)</f>
        <v>0.0032</v>
      </c>
      <c r="I55" s="27">
        <f t="shared" si="20"/>
        <v>0.1277</v>
      </c>
      <c r="J55" s="27">
        <f t="shared" si="18"/>
        <v>0.0046</v>
      </c>
      <c r="K55" s="27">
        <f t="shared" si="21"/>
        <v>0.1323</v>
      </c>
      <c r="L55" s="27">
        <f>ROUND(L52/32*10,4)</f>
        <v>-0.034</v>
      </c>
      <c r="M55" s="27">
        <f>ROUND(M52/32*10,4)</f>
        <v>0.0755</v>
      </c>
      <c r="N55" s="111">
        <f t="shared" si="19"/>
        <v>0.1738</v>
      </c>
      <c r="P55" s="134">
        <f>IF(ROUND((N55-($W$10/32*10)+(INPUT!E$88))/(1-INPUT!$B$56),2)&gt;N55,ROUND((N55-($W$10/32*10)+(INPUT!E$88))/(1-INPUT!$B$56),2),ROUND(N55+0.01,2))</f>
        <v>0.18</v>
      </c>
      <c r="Q55" s="111">
        <v>0.2385</v>
      </c>
      <c r="S55" s="134">
        <v>0.25</v>
      </c>
      <c r="T55" s="110">
        <f t="shared" si="4"/>
        <v>-0.06469999999999998</v>
      </c>
      <c r="U55" s="34">
        <f t="shared" si="5"/>
        <v>-0.07</v>
      </c>
    </row>
    <row r="56" spans="1:21" ht="14.25" thickBot="1" thickTop="1">
      <c r="A56" s="263"/>
      <c r="B56" s="266"/>
      <c r="C56" s="18" t="s">
        <v>65</v>
      </c>
      <c r="D56" s="99">
        <f>'CNTNR COST'!G55</f>
        <v>0.0749</v>
      </c>
      <c r="E56" s="27">
        <v>0</v>
      </c>
      <c r="F56" s="23">
        <f>+$F$16</f>
        <v>0.0246</v>
      </c>
      <c r="G56" s="27">
        <f>ROUND($G$12/4,4)</f>
        <v>0</v>
      </c>
      <c r="H56" s="27">
        <f>ROUND($H$12/4,4)</f>
        <v>0.0026</v>
      </c>
      <c r="I56" s="27">
        <f t="shared" si="20"/>
        <v>0.1021</v>
      </c>
      <c r="J56" s="27">
        <f t="shared" si="18"/>
        <v>0.0037</v>
      </c>
      <c r="K56" s="27">
        <f t="shared" si="21"/>
        <v>0.1058</v>
      </c>
      <c r="L56" s="27">
        <f>ROUND(L$12/4,4)</f>
        <v>-0.0272</v>
      </c>
      <c r="M56" s="27">
        <f>ROUND(M$12/4,4)</f>
        <v>0.0604</v>
      </c>
      <c r="N56" s="111">
        <f t="shared" si="19"/>
        <v>0.139</v>
      </c>
      <c r="P56" s="134">
        <f>IF(ROUND((N56-($W$10/4)+(INPUT!E$89))/(1-INPUT!$B$56),2)&gt;N56,ROUND((N56-($W$10/4)+(INPUT!E$89))/(1-INPUT!$B$56),2),ROUND(N56+0.01,2))</f>
        <v>0.15</v>
      </c>
      <c r="Q56" s="111">
        <v>0.1936</v>
      </c>
      <c r="S56" s="134">
        <v>0.21</v>
      </c>
      <c r="T56" s="110">
        <f t="shared" si="4"/>
        <v>-0.05459999999999998</v>
      </c>
      <c r="U56" s="34">
        <f t="shared" si="5"/>
        <v>-0.06</v>
      </c>
    </row>
    <row r="57" spans="1:21" ht="14.25" thickBot="1" thickTop="1">
      <c r="A57" s="263"/>
      <c r="B57" s="266"/>
      <c r="C57" s="18" t="s">
        <v>66</v>
      </c>
      <c r="D57" s="99">
        <f>'CNTNR COST'!G56</f>
        <v>0.0706</v>
      </c>
      <c r="E57" s="27">
        <v>0</v>
      </c>
      <c r="F57" s="23">
        <f>+$F$17</f>
        <v>0.0379</v>
      </c>
      <c r="G57" s="27">
        <f>ROUND($G$12/8,4)</f>
        <v>0</v>
      </c>
      <c r="H57" s="27">
        <f>ROUND($H$12/8,4)</f>
        <v>0.0013</v>
      </c>
      <c r="I57" s="27">
        <f t="shared" si="20"/>
        <v>0.1098</v>
      </c>
      <c r="J57" s="27">
        <f t="shared" si="18"/>
        <v>0.004</v>
      </c>
      <c r="K57" s="27">
        <f t="shared" si="21"/>
        <v>0.1138</v>
      </c>
      <c r="L57" s="27">
        <f>ROUND(L$12/8,4)</f>
        <v>-0.0136</v>
      </c>
      <c r="M57" s="27">
        <f>ROUND(M$12/8,4)</f>
        <v>0.0302</v>
      </c>
      <c r="N57" s="111">
        <f t="shared" si="19"/>
        <v>0.1304</v>
      </c>
      <c r="P57" s="134">
        <f>IF(ROUND((N57-($W$10/8)+(INPUT!E$90))/(1-INPUT!$B$56),2)&gt;N57,ROUND((N57-($W$10/8)+(INPUT!E$90))/(1-INPUT!$B$56),2),ROUND(N57+0.01,2))</f>
        <v>0.14</v>
      </c>
      <c r="Q57" s="111">
        <v>0.1179</v>
      </c>
      <c r="S57" s="134">
        <v>0.12</v>
      </c>
      <c r="T57" s="110">
        <f t="shared" si="4"/>
        <v>0.012499999999999983</v>
      </c>
      <c r="U57" s="34">
        <f t="shared" si="5"/>
        <v>0.020000000000000018</v>
      </c>
    </row>
    <row r="58" spans="1:21" ht="14.25" thickBot="1" thickTop="1">
      <c r="A58" s="264"/>
      <c r="B58" s="267"/>
      <c r="C58" s="18" t="s">
        <v>92</v>
      </c>
      <c r="D58" s="100">
        <f>'CNTNR COST'!G57</f>
        <v>0.3733</v>
      </c>
      <c r="E58" s="39">
        <v>0</v>
      </c>
      <c r="F58" s="36">
        <f>+$F$18</f>
        <v>0.121</v>
      </c>
      <c r="G58" s="39">
        <f>ROUND($G$12,4)</f>
        <v>0</v>
      </c>
      <c r="H58" s="39">
        <f>ROUND($H$12,4)</f>
        <v>0.0102</v>
      </c>
      <c r="I58" s="39">
        <f t="shared" si="20"/>
        <v>0.5045</v>
      </c>
      <c r="J58" s="39">
        <f t="shared" si="18"/>
        <v>0.0183</v>
      </c>
      <c r="K58" s="39">
        <f t="shared" si="21"/>
        <v>0.5228</v>
      </c>
      <c r="L58" s="39">
        <f>L$12</f>
        <v>-0.1088</v>
      </c>
      <c r="M58" s="39">
        <f>M$12</f>
        <v>0.2416</v>
      </c>
      <c r="N58" s="112">
        <f t="shared" si="19"/>
        <v>0.6556</v>
      </c>
      <c r="P58" s="37">
        <f>ROUND((N58-($W$10)+(INPUT!E$91))/(1-INPUT!$B$56),2)</f>
        <v>0.57</v>
      </c>
      <c r="Q58" s="112">
        <v>0.7046</v>
      </c>
      <c r="S58" s="37">
        <v>0.75</v>
      </c>
      <c r="T58" s="110">
        <f t="shared" si="4"/>
        <v>-0.049000000000000044</v>
      </c>
      <c r="U58" s="34">
        <f t="shared" si="5"/>
        <v>-0.18000000000000005</v>
      </c>
    </row>
    <row r="59" spans="3:21" ht="14.25" thickBot="1" thickTop="1">
      <c r="C59" s="176"/>
      <c r="D59" s="40"/>
      <c r="Q59" s="109"/>
      <c r="T59" s="110" t="s">
        <v>12</v>
      </c>
      <c r="U59" s="34" t="s">
        <v>12</v>
      </c>
    </row>
    <row r="60" spans="1:21" ht="14.25" thickBot="1" thickTop="1">
      <c r="A60" s="262" t="s">
        <v>142</v>
      </c>
      <c r="B60" s="265" t="s">
        <v>27</v>
      </c>
      <c r="C60" s="18" t="s">
        <v>14</v>
      </c>
      <c r="D60" s="98">
        <f>'CNTNR COST'!G59</f>
        <v>1.198</v>
      </c>
      <c r="E60" s="38">
        <v>0</v>
      </c>
      <c r="F60" s="22">
        <f>+$F$10</f>
        <v>-0.0882</v>
      </c>
      <c r="G60" s="38">
        <f>ROUND($G$12*4,4)</f>
        <v>0</v>
      </c>
      <c r="H60" s="38">
        <f>ROUND($H$12*4,4)</f>
        <v>0.0408</v>
      </c>
      <c r="I60" s="38">
        <f>ROUND(SUM(D60:H60),4)</f>
        <v>1.1506</v>
      </c>
      <c r="J60" s="38">
        <f aca="true" t="shared" si="22" ref="J60:J68">ROUND((I60/(1-$J$5))-I60,4)</f>
        <v>0.0417</v>
      </c>
      <c r="K60" s="38">
        <f>ROUND(I60+J60,4)</f>
        <v>1.1923</v>
      </c>
      <c r="L60" s="38">
        <f>ROUND(L$12*4,4)</f>
        <v>-0.4352</v>
      </c>
      <c r="M60" s="38">
        <f>ROUND(M$12*4,4)</f>
        <v>0.9664</v>
      </c>
      <c r="N60" s="110">
        <f aca="true" t="shared" si="23" ref="N60:N68">ROUND(SUM(K60:M60),4)</f>
        <v>1.7235</v>
      </c>
      <c r="P60" s="34">
        <f>ROUND((N60-($W$10*4)+(INPUT!E$83))/(1-INPUT!$B$56),2)</f>
        <v>1.35</v>
      </c>
      <c r="Q60" s="110">
        <v>2.5244</v>
      </c>
      <c r="S60" s="34">
        <v>2.7</v>
      </c>
      <c r="T60" s="110">
        <f t="shared" si="4"/>
        <v>-0.8009</v>
      </c>
      <c r="U60" s="34">
        <f t="shared" si="5"/>
        <v>-1.35</v>
      </c>
    </row>
    <row r="61" spans="1:21" ht="14.25" thickBot="1" thickTop="1">
      <c r="A61" s="263"/>
      <c r="B61" s="266"/>
      <c r="C61" s="18" t="s">
        <v>63</v>
      </c>
      <c r="D61" s="99">
        <f>'CNTNR COST'!G60</f>
        <v>0.599</v>
      </c>
      <c r="E61" s="27">
        <v>0</v>
      </c>
      <c r="F61" s="23">
        <f>+$F$11</f>
        <v>-0.0561</v>
      </c>
      <c r="G61" s="27">
        <f>ROUND($G$12*2,4)</f>
        <v>0</v>
      </c>
      <c r="H61" s="27">
        <f>ROUND($H$12*2,4)</f>
        <v>0.0204</v>
      </c>
      <c r="I61" s="27">
        <f aca="true" t="shared" si="24" ref="I61:I68">ROUND(SUM(D61:H61),4)</f>
        <v>0.5633</v>
      </c>
      <c r="J61" s="27">
        <f t="shared" si="22"/>
        <v>0.0204</v>
      </c>
      <c r="K61" s="27">
        <f aca="true" t="shared" si="25" ref="K61:K68">ROUND(I61+J61,4)</f>
        <v>0.5837</v>
      </c>
      <c r="L61" s="27">
        <f>ROUND(L$12*2,4)</f>
        <v>-0.2176</v>
      </c>
      <c r="M61" s="27">
        <f>ROUND(M$12*2,4)</f>
        <v>0.4832</v>
      </c>
      <c r="N61" s="111">
        <f t="shared" si="23"/>
        <v>0.8493</v>
      </c>
      <c r="P61" s="35">
        <f>ROUND((N61-($W$10*2)+(INPUT!E$84))/(1-INPUT!$B$56),2)</f>
        <v>0.66</v>
      </c>
      <c r="Q61" s="111">
        <v>1.3021</v>
      </c>
      <c r="S61" s="35">
        <v>1.39</v>
      </c>
      <c r="T61" s="110">
        <f t="shared" si="4"/>
        <v>-0.4528</v>
      </c>
      <c r="U61" s="34">
        <f t="shared" si="5"/>
        <v>-0.7299999999999999</v>
      </c>
    </row>
    <row r="62" spans="1:21" ht="14.25" thickBot="1" thickTop="1">
      <c r="A62" s="263"/>
      <c r="B62" s="266"/>
      <c r="C62" s="18" t="s">
        <v>16</v>
      </c>
      <c r="D62" s="99">
        <f>'CNTNR COST'!G61</f>
        <v>0.2995</v>
      </c>
      <c r="E62" s="27">
        <v>0</v>
      </c>
      <c r="F62" s="23">
        <f>+$F$12</f>
        <v>0.0448</v>
      </c>
      <c r="G62" s="27">
        <f>ENERGY_ADDON</f>
        <v>0</v>
      </c>
      <c r="H62" s="27">
        <f>COST_UPDATE_ADJ</f>
        <v>0.0102</v>
      </c>
      <c r="I62" s="27">
        <f t="shared" si="24"/>
        <v>0.3545</v>
      </c>
      <c r="J62" s="27">
        <f t="shared" si="22"/>
        <v>0.0129</v>
      </c>
      <c r="K62" s="27">
        <f t="shared" si="25"/>
        <v>0.3674</v>
      </c>
      <c r="L62" s="27">
        <f>$L$12</f>
        <v>-0.1088</v>
      </c>
      <c r="M62" s="27">
        <f>$M$12</f>
        <v>0.2416</v>
      </c>
      <c r="N62" s="111">
        <f t="shared" si="23"/>
        <v>0.5002</v>
      </c>
      <c r="P62" s="35">
        <f>ROUND((N62-($W$10)+(INPUT!E$85))/(1-INPUT!$B$56),2)</f>
        <v>0.41</v>
      </c>
      <c r="Q62" s="111">
        <v>0.6877</v>
      </c>
      <c r="S62" s="35">
        <v>0.73</v>
      </c>
      <c r="T62" s="110">
        <f t="shared" si="4"/>
        <v>-0.1875</v>
      </c>
      <c r="U62" s="34">
        <f t="shared" si="5"/>
        <v>-0.32</v>
      </c>
    </row>
    <row r="63" spans="1:21" ht="14.25" thickBot="1" thickTop="1">
      <c r="A63" s="263"/>
      <c r="B63" s="266"/>
      <c r="C63" s="18" t="s">
        <v>17</v>
      </c>
      <c r="D63" s="99">
        <f>'CNTNR COST'!G62</f>
        <v>0.1498</v>
      </c>
      <c r="E63" s="27">
        <v>0</v>
      </c>
      <c r="F63" s="23">
        <f>+$F$13</f>
        <v>0.1138</v>
      </c>
      <c r="G63" s="27">
        <f>ROUND($G$12/2,4)</f>
        <v>0</v>
      </c>
      <c r="H63" s="27">
        <f>ROUND($H$12/2,4)</f>
        <v>0.0051</v>
      </c>
      <c r="I63" s="27">
        <f t="shared" si="24"/>
        <v>0.2687</v>
      </c>
      <c r="J63" s="27">
        <f t="shared" si="22"/>
        <v>0.0097</v>
      </c>
      <c r="K63" s="27">
        <f t="shared" si="25"/>
        <v>0.2784</v>
      </c>
      <c r="L63" s="27">
        <f>ROUND(L$12/2,4)</f>
        <v>-0.0544</v>
      </c>
      <c r="M63" s="27">
        <f>ROUND(M$12/2,4)</f>
        <v>0.1208</v>
      </c>
      <c r="N63" s="111">
        <f t="shared" si="23"/>
        <v>0.3448</v>
      </c>
      <c r="P63" s="35">
        <f>ROUND((N63-($W$10/2)+(INPUT!E$86))/(1-INPUT!$B$56),2)</f>
        <v>0.3</v>
      </c>
      <c r="Q63" s="111">
        <v>0.3792</v>
      </c>
      <c r="S63" s="35">
        <v>0.4</v>
      </c>
      <c r="T63" s="110">
        <f t="shared" si="4"/>
        <v>-0.034399999999999986</v>
      </c>
      <c r="U63" s="34">
        <f t="shared" si="5"/>
        <v>-0.10000000000000003</v>
      </c>
    </row>
    <row r="64" spans="1:21" ht="14.25" thickBot="1" thickTop="1">
      <c r="A64" s="263"/>
      <c r="B64" s="266"/>
      <c r="C64" s="18" t="s">
        <v>161</v>
      </c>
      <c r="D64" s="99">
        <f>'CNTNR COST'!G63</f>
        <v>0.1754</v>
      </c>
      <c r="E64" s="27">
        <f>ROUND(E62/32*12,4)</f>
        <v>0</v>
      </c>
      <c r="F64" s="27">
        <f>+$F$14</f>
        <v>0</v>
      </c>
      <c r="G64" s="27">
        <f>ROUND($G$12/32*12,4)</f>
        <v>0</v>
      </c>
      <c r="H64" s="27">
        <f>ROUND($H$12/32*12,4)</f>
        <v>0.0038</v>
      </c>
      <c r="I64" s="27">
        <f t="shared" si="24"/>
        <v>0.1792</v>
      </c>
      <c r="J64" s="27">
        <f t="shared" si="22"/>
        <v>0.0065</v>
      </c>
      <c r="K64" s="27">
        <f t="shared" si="25"/>
        <v>0.1857</v>
      </c>
      <c r="L64" s="27">
        <f>ROUND(L62/32*12,4)</f>
        <v>-0.0408</v>
      </c>
      <c r="M64" s="27">
        <f>ROUND(M62/32*12,4)</f>
        <v>0.0906</v>
      </c>
      <c r="N64" s="111">
        <f t="shared" si="23"/>
        <v>0.2355</v>
      </c>
      <c r="P64" s="134">
        <f>IF(ROUND((N64-(($W$10/32)*12)+(INPUT!E$87))/(1-INPUT!$B$56),2)&gt;N64,ROUND((N64-($W$10/32*12)+(INPUT!$E$87))/(1-INPUT!$B$56),2),ROUND(N64+0.01,2))</f>
        <v>0.25</v>
      </c>
      <c r="Q64" s="111"/>
      <c r="S64" s="35"/>
      <c r="T64" s="110"/>
      <c r="U64" s="34"/>
    </row>
    <row r="65" spans="1:21" ht="14.25" thickBot="1" thickTop="1">
      <c r="A65" s="263"/>
      <c r="B65" s="266"/>
      <c r="C65" s="18" t="s">
        <v>64</v>
      </c>
      <c r="D65" s="99">
        <f>'CNTNR COST'!G64</f>
        <v>0.1245</v>
      </c>
      <c r="E65" s="27">
        <v>0</v>
      </c>
      <c r="F65" s="23">
        <f>+$F$15</f>
        <v>0</v>
      </c>
      <c r="G65" s="27">
        <f>ROUND($G$12/32*10,4)</f>
        <v>0</v>
      </c>
      <c r="H65" s="27">
        <f>ROUND($H$12/32*10,4)</f>
        <v>0.0032</v>
      </c>
      <c r="I65" s="27">
        <f t="shared" si="24"/>
        <v>0.1277</v>
      </c>
      <c r="J65" s="27">
        <f t="shared" si="22"/>
        <v>0.0046</v>
      </c>
      <c r="K65" s="27">
        <f t="shared" si="25"/>
        <v>0.1323</v>
      </c>
      <c r="L65" s="27">
        <f>ROUND(L62/32*10,4)</f>
        <v>-0.034</v>
      </c>
      <c r="M65" s="27">
        <f>ROUND(M62/32*10,4)</f>
        <v>0.0755</v>
      </c>
      <c r="N65" s="111">
        <f t="shared" si="23"/>
        <v>0.1738</v>
      </c>
      <c r="P65" s="134">
        <f>IF(ROUND((N65-($W$10/32*10)+(INPUT!E$88))/(1-INPUT!$B$56),2)&gt;N65,ROUND((N65-($W$10/32*10)+(INPUT!E$88))/(1-INPUT!$B$56),2),ROUND(N65+0.01,2))</f>
        <v>0.18</v>
      </c>
      <c r="Q65" s="111">
        <v>0.2289</v>
      </c>
      <c r="S65" s="134">
        <v>0.24</v>
      </c>
      <c r="T65" s="110">
        <f t="shared" si="4"/>
        <v>-0.05509999999999998</v>
      </c>
      <c r="U65" s="34">
        <f t="shared" si="5"/>
        <v>-0.06</v>
      </c>
    </row>
    <row r="66" spans="1:21" ht="14.25" thickBot="1" thickTop="1">
      <c r="A66" s="263"/>
      <c r="B66" s="266"/>
      <c r="C66" s="18" t="s">
        <v>65</v>
      </c>
      <c r="D66" s="99">
        <f>'CNTNR COST'!G65</f>
        <v>0.0749</v>
      </c>
      <c r="E66" s="27">
        <v>0</v>
      </c>
      <c r="F66" s="23">
        <f>+$F$16</f>
        <v>0.0246</v>
      </c>
      <c r="G66" s="27">
        <f>ROUND($G$12/4,4)</f>
        <v>0</v>
      </c>
      <c r="H66" s="27">
        <f>ROUND($H$12/4,4)</f>
        <v>0.0026</v>
      </c>
      <c r="I66" s="27">
        <f t="shared" si="24"/>
        <v>0.1021</v>
      </c>
      <c r="J66" s="27">
        <f t="shared" si="22"/>
        <v>0.0037</v>
      </c>
      <c r="K66" s="27">
        <f t="shared" si="25"/>
        <v>0.1058</v>
      </c>
      <c r="L66" s="27">
        <f>ROUND(L$12/4,4)</f>
        <v>-0.0272</v>
      </c>
      <c r="M66" s="27">
        <f>ROUND(M$12/4,4)</f>
        <v>0.0604</v>
      </c>
      <c r="N66" s="111">
        <f t="shared" si="23"/>
        <v>0.139</v>
      </c>
      <c r="P66" s="134">
        <f>IF(ROUND((N66-($W$10/4)+(INPUT!E$89))/(1-INPUT!$B$56),2)&gt;N66,ROUND((N66-($W$10/4)+(INPUT!E$89))/(1-INPUT!$B$56),2),ROUND(N66+0.01,2))</f>
        <v>0.15</v>
      </c>
      <c r="Q66" s="111">
        <v>0.186</v>
      </c>
      <c r="S66" s="134">
        <v>0.2</v>
      </c>
      <c r="T66" s="110">
        <f t="shared" si="4"/>
        <v>-0.046999999999999986</v>
      </c>
      <c r="U66" s="34">
        <f t="shared" si="5"/>
        <v>-0.05000000000000002</v>
      </c>
    </row>
    <row r="67" spans="1:21" ht="14.25" thickBot="1" thickTop="1">
      <c r="A67" s="263"/>
      <c r="B67" s="266"/>
      <c r="C67" s="18" t="s">
        <v>66</v>
      </c>
      <c r="D67" s="99">
        <f>'CNTNR COST'!G66</f>
        <v>0.0706</v>
      </c>
      <c r="E67" s="27">
        <v>0</v>
      </c>
      <c r="F67" s="23">
        <f>+$F$17</f>
        <v>0.0379</v>
      </c>
      <c r="G67" s="27">
        <f>ROUND($G$12/8,4)</f>
        <v>0</v>
      </c>
      <c r="H67" s="27">
        <f>ROUND($H$12/8,4)</f>
        <v>0.0013</v>
      </c>
      <c r="I67" s="27">
        <f t="shared" si="24"/>
        <v>0.1098</v>
      </c>
      <c r="J67" s="27">
        <f t="shared" si="22"/>
        <v>0.004</v>
      </c>
      <c r="K67" s="27">
        <f t="shared" si="25"/>
        <v>0.1138</v>
      </c>
      <c r="L67" s="27">
        <f>ROUND(L$12/8,4)</f>
        <v>-0.0136</v>
      </c>
      <c r="M67" s="27">
        <f>ROUND(M$12/8,4)</f>
        <v>0.0302</v>
      </c>
      <c r="N67" s="111">
        <f t="shared" si="23"/>
        <v>0.1304</v>
      </c>
      <c r="P67" s="134">
        <f>IF(ROUND((N67-($W$10/8)+(INPUT!E$90))/(1-INPUT!$B$56),2)&gt;N67,ROUND((N67-($W$10/8)+(INPUT!E$90))/(1-INPUT!$B$56),2),ROUND(N67+0.01,2))</f>
        <v>0.14</v>
      </c>
      <c r="Q67" s="111">
        <v>0.114</v>
      </c>
      <c r="S67" s="134">
        <v>0.12</v>
      </c>
      <c r="T67" s="110">
        <f t="shared" si="4"/>
        <v>0.016399999999999984</v>
      </c>
      <c r="U67" s="34">
        <f t="shared" si="5"/>
        <v>0.020000000000000018</v>
      </c>
    </row>
    <row r="68" spans="1:21" ht="14.25" thickBot="1" thickTop="1">
      <c r="A68" s="264"/>
      <c r="B68" s="267"/>
      <c r="C68" s="18" t="s">
        <v>92</v>
      </c>
      <c r="D68" s="100">
        <f>'CNTNR COST'!G67</f>
        <v>0.3733</v>
      </c>
      <c r="E68" s="39">
        <v>0</v>
      </c>
      <c r="F68" s="36">
        <f>+$F$18</f>
        <v>0.121</v>
      </c>
      <c r="G68" s="39">
        <f>ROUND($G$12,4)</f>
        <v>0</v>
      </c>
      <c r="H68" s="39">
        <f>ROUND($H$12,4)</f>
        <v>0.0102</v>
      </c>
      <c r="I68" s="39">
        <f t="shared" si="24"/>
        <v>0.5045</v>
      </c>
      <c r="J68" s="39">
        <f t="shared" si="22"/>
        <v>0.0183</v>
      </c>
      <c r="K68" s="39">
        <f t="shared" si="25"/>
        <v>0.5228</v>
      </c>
      <c r="L68" s="39">
        <f>L$12</f>
        <v>-0.1088</v>
      </c>
      <c r="M68" s="39">
        <f>M$12</f>
        <v>0.2416</v>
      </c>
      <c r="N68" s="112">
        <f t="shared" si="23"/>
        <v>0.6556</v>
      </c>
      <c r="P68" s="37">
        <f>ROUND((N68-($W$10)+(INPUT!E$91))/(1-INPUT!$B$56),2)</f>
        <v>0.57</v>
      </c>
      <c r="Q68" s="112">
        <v>0.674</v>
      </c>
      <c r="S68" s="37">
        <v>0.72</v>
      </c>
      <c r="T68" s="110">
        <f t="shared" si="4"/>
        <v>-0.018400000000000083</v>
      </c>
      <c r="U68" s="34">
        <f t="shared" si="5"/>
        <v>-0.15000000000000002</v>
      </c>
    </row>
    <row r="69" spans="1:21" ht="14.25" thickBot="1" thickTop="1">
      <c r="A69" s="181"/>
      <c r="B69" s="229"/>
      <c r="C69" s="176"/>
      <c r="D69" s="133"/>
      <c r="E69" s="133"/>
      <c r="F69" s="122"/>
      <c r="G69" s="133"/>
      <c r="H69" s="133"/>
      <c r="I69" s="133"/>
      <c r="J69" s="133"/>
      <c r="K69" s="133"/>
      <c r="L69" s="133"/>
      <c r="M69" s="133"/>
      <c r="N69" s="183"/>
      <c r="P69" s="184"/>
      <c r="Q69" s="183"/>
      <c r="S69" s="184"/>
      <c r="T69" s="110"/>
      <c r="U69" s="34"/>
    </row>
    <row r="70" spans="1:21" ht="14.25" thickBot="1" thickTop="1">
      <c r="A70" s="275" t="s">
        <v>168</v>
      </c>
      <c r="B70" s="265" t="s">
        <v>27</v>
      </c>
      <c r="C70" s="18" t="s">
        <v>14</v>
      </c>
      <c r="D70" s="98">
        <f>'CNTNR COST'!G69</f>
        <v>1.198</v>
      </c>
      <c r="E70" s="38">
        <v>0</v>
      </c>
      <c r="F70" s="22">
        <f>+$F$10</f>
        <v>-0.0882</v>
      </c>
      <c r="G70" s="38">
        <f>ROUND($G$12*4,4)</f>
        <v>0</v>
      </c>
      <c r="H70" s="38">
        <f>ROUND($H$12*4,4)</f>
        <v>0.0408</v>
      </c>
      <c r="I70" s="38">
        <f>ROUND(SUM(D70:H70),4)</f>
        <v>1.1506</v>
      </c>
      <c r="J70" s="38">
        <f aca="true" t="shared" si="26" ref="J70:J78">ROUND((I70/(1-$J$5))-I70,4)</f>
        <v>0.0417</v>
      </c>
      <c r="K70" s="38">
        <f>ROUND(I70+J70,4)</f>
        <v>1.1923</v>
      </c>
      <c r="L70" s="38">
        <f>ROUND(L$12*4,4)</f>
        <v>-0.4352</v>
      </c>
      <c r="M70" s="38">
        <f>ROUND(M$12*4,4)</f>
        <v>0.9664</v>
      </c>
      <c r="N70" s="110">
        <f aca="true" t="shared" si="27" ref="N70:N78">ROUND(SUM(K70:M70),4)</f>
        <v>1.7235</v>
      </c>
      <c r="P70" s="34">
        <f>ROUND((N70-($W$10*4)+(INPUT!E$83))/(1-INPUT!$B$56),2)</f>
        <v>1.35</v>
      </c>
      <c r="Q70" s="110">
        <v>2.5244</v>
      </c>
      <c r="S70" s="34">
        <v>2.7</v>
      </c>
      <c r="T70" s="110">
        <f>N70-Q70</f>
        <v>-0.8009</v>
      </c>
      <c r="U70" s="34">
        <f>P70-S70</f>
        <v>-1.35</v>
      </c>
    </row>
    <row r="71" spans="1:21" ht="14.25" thickBot="1" thickTop="1">
      <c r="A71" s="263"/>
      <c r="B71" s="266"/>
      <c r="C71" s="18" t="s">
        <v>63</v>
      </c>
      <c r="D71" s="99">
        <f>'CNTNR COST'!G70</f>
        <v>0.599</v>
      </c>
      <c r="E71" s="27">
        <v>0</v>
      </c>
      <c r="F71" s="23">
        <f>+$F$11</f>
        <v>-0.0561</v>
      </c>
      <c r="G71" s="27">
        <f>ROUND($G$12*2,4)</f>
        <v>0</v>
      </c>
      <c r="H71" s="27">
        <f>ROUND($H$12*2,4)</f>
        <v>0.0204</v>
      </c>
      <c r="I71" s="27">
        <f aca="true" t="shared" si="28" ref="I71:I78">ROUND(SUM(D71:H71),4)</f>
        <v>0.5633</v>
      </c>
      <c r="J71" s="27">
        <f t="shared" si="26"/>
        <v>0.0204</v>
      </c>
      <c r="K71" s="27">
        <f aca="true" t="shared" si="29" ref="K71:K78">ROUND(I71+J71,4)</f>
        <v>0.5837</v>
      </c>
      <c r="L71" s="27">
        <f>ROUND(L$12*2,4)</f>
        <v>-0.2176</v>
      </c>
      <c r="M71" s="27">
        <f>ROUND(M$12*2,4)</f>
        <v>0.4832</v>
      </c>
      <c r="N71" s="111">
        <f t="shared" si="27"/>
        <v>0.8493</v>
      </c>
      <c r="P71" s="35">
        <f>ROUND((N71-($W$10*2)+(INPUT!E$84))/(1-INPUT!$B$56),2)</f>
        <v>0.66</v>
      </c>
      <c r="Q71" s="111">
        <v>1.3021</v>
      </c>
      <c r="S71" s="35">
        <v>1.39</v>
      </c>
      <c r="T71" s="110">
        <f>N71-Q71</f>
        <v>-0.4528</v>
      </c>
      <c r="U71" s="34">
        <f>P71-S71</f>
        <v>-0.7299999999999999</v>
      </c>
    </row>
    <row r="72" spans="1:21" ht="14.25" thickBot="1" thickTop="1">
      <c r="A72" s="263"/>
      <c r="B72" s="266"/>
      <c r="C72" s="18" t="s">
        <v>16</v>
      </c>
      <c r="D72" s="99">
        <f>'CNTNR COST'!G71</f>
        <v>0.2995</v>
      </c>
      <c r="E72" s="27">
        <v>0</v>
      </c>
      <c r="F72" s="23">
        <f>+$F$12</f>
        <v>0.0448</v>
      </c>
      <c r="G72" s="27">
        <f>ENERGY_ADDON</f>
        <v>0</v>
      </c>
      <c r="H72" s="27">
        <f>COST_UPDATE_ADJ</f>
        <v>0.0102</v>
      </c>
      <c r="I72" s="27">
        <f t="shared" si="28"/>
        <v>0.3545</v>
      </c>
      <c r="J72" s="27">
        <f t="shared" si="26"/>
        <v>0.0129</v>
      </c>
      <c r="K72" s="27">
        <f t="shared" si="29"/>
        <v>0.3674</v>
      </c>
      <c r="L72" s="27">
        <f>$L$12</f>
        <v>-0.1088</v>
      </c>
      <c r="M72" s="27">
        <f>$M$12</f>
        <v>0.2416</v>
      </c>
      <c r="N72" s="111">
        <f t="shared" si="27"/>
        <v>0.5002</v>
      </c>
      <c r="P72" s="35">
        <f>ROUND((N72-($W$10)+(INPUT!E$85))/(1-INPUT!$B$56),2)</f>
        <v>0.41</v>
      </c>
      <c r="Q72" s="111">
        <v>0.6877</v>
      </c>
      <c r="S72" s="35">
        <v>0.73</v>
      </c>
      <c r="T72" s="110">
        <f>N72-Q72</f>
        <v>-0.1875</v>
      </c>
      <c r="U72" s="34">
        <f>P72-S72</f>
        <v>-0.32</v>
      </c>
    </row>
    <row r="73" spans="1:21" ht="14.25" thickBot="1" thickTop="1">
      <c r="A73" s="263"/>
      <c r="B73" s="266"/>
      <c r="C73" s="18" t="s">
        <v>17</v>
      </c>
      <c r="D73" s="99">
        <f>'CNTNR COST'!G72</f>
        <v>0.1498</v>
      </c>
      <c r="E73" s="27">
        <v>0</v>
      </c>
      <c r="F73" s="23">
        <f>+$F$13</f>
        <v>0.1138</v>
      </c>
      <c r="G73" s="27">
        <f>ROUND($G$12/2,4)</f>
        <v>0</v>
      </c>
      <c r="H73" s="27">
        <f>ROUND($H$12/2,4)</f>
        <v>0.0051</v>
      </c>
      <c r="I73" s="27">
        <f t="shared" si="28"/>
        <v>0.2687</v>
      </c>
      <c r="J73" s="27">
        <f t="shared" si="26"/>
        <v>0.0097</v>
      </c>
      <c r="K73" s="27">
        <f t="shared" si="29"/>
        <v>0.2784</v>
      </c>
      <c r="L73" s="27">
        <f>ROUND(L$12/2,4)</f>
        <v>-0.0544</v>
      </c>
      <c r="M73" s="27">
        <f>ROUND(M$12/2,4)</f>
        <v>0.1208</v>
      </c>
      <c r="N73" s="111">
        <f t="shared" si="27"/>
        <v>0.3448</v>
      </c>
      <c r="P73" s="35">
        <f>ROUND((N73-($W$10/2)+(INPUT!E$86))/(1-INPUT!$B$56),2)</f>
        <v>0.3</v>
      </c>
      <c r="Q73" s="111">
        <v>0.3792</v>
      </c>
      <c r="S73" s="35">
        <v>0.4</v>
      </c>
      <c r="T73" s="110">
        <f>N73-Q73</f>
        <v>-0.034399999999999986</v>
      </c>
      <c r="U73" s="34">
        <f>P73-S73</f>
        <v>-0.10000000000000003</v>
      </c>
    </row>
    <row r="74" spans="1:21" ht="14.25" thickBot="1" thickTop="1">
      <c r="A74" s="263"/>
      <c r="B74" s="266"/>
      <c r="C74" s="18" t="s">
        <v>161</v>
      </c>
      <c r="D74" s="99">
        <f>'CNTNR COST'!G73</f>
        <v>0.1754</v>
      </c>
      <c r="E74" s="27">
        <f>ROUND(E72/32*12,4)</f>
        <v>0</v>
      </c>
      <c r="F74" s="27">
        <f>+$F$14</f>
        <v>0</v>
      </c>
      <c r="G74" s="27">
        <f>ROUND($G$12/32*12,4)</f>
        <v>0</v>
      </c>
      <c r="H74" s="27">
        <f>ROUND($H$12/32*12,4)</f>
        <v>0.0038</v>
      </c>
      <c r="I74" s="27">
        <f t="shared" si="28"/>
        <v>0.1792</v>
      </c>
      <c r="J74" s="27">
        <f t="shared" si="26"/>
        <v>0.0065</v>
      </c>
      <c r="K74" s="27">
        <f t="shared" si="29"/>
        <v>0.1857</v>
      </c>
      <c r="L74" s="27">
        <f>ROUND(L72/32*12,4)</f>
        <v>-0.0408</v>
      </c>
      <c r="M74" s="27">
        <f>ROUND(M72/32*12,4)</f>
        <v>0.0906</v>
      </c>
      <c r="N74" s="111">
        <f t="shared" si="27"/>
        <v>0.2355</v>
      </c>
      <c r="P74" s="134">
        <f>IF(ROUND((N74-(($W$10/32)*12)+(INPUT!E$87))/(1-INPUT!$B$56),2)&gt;N74,ROUND((N74-($W$10/32*12)+(INPUT!$E$87))/(1-INPUT!$B$56),2),ROUND(N74+0.01,2))</f>
        <v>0.25</v>
      </c>
      <c r="Q74" s="111"/>
      <c r="S74" s="35"/>
      <c r="T74" s="110"/>
      <c r="U74" s="34"/>
    </row>
    <row r="75" spans="1:21" ht="14.25" thickBot="1" thickTop="1">
      <c r="A75" s="263"/>
      <c r="B75" s="266"/>
      <c r="C75" s="18" t="s">
        <v>64</v>
      </c>
      <c r="D75" s="99">
        <f>'CNTNR COST'!G74</f>
        <v>0.1245</v>
      </c>
      <c r="E75" s="27">
        <v>0</v>
      </c>
      <c r="F75" s="23">
        <f>+$F$15</f>
        <v>0</v>
      </c>
      <c r="G75" s="27">
        <f>ROUND($G$12/32*10,4)</f>
        <v>0</v>
      </c>
      <c r="H75" s="27">
        <f>ROUND($H$12/32*10,4)</f>
        <v>0.0032</v>
      </c>
      <c r="I75" s="27">
        <f t="shared" si="28"/>
        <v>0.1277</v>
      </c>
      <c r="J75" s="27">
        <f t="shared" si="26"/>
        <v>0.0046</v>
      </c>
      <c r="K75" s="27">
        <f t="shared" si="29"/>
        <v>0.1323</v>
      </c>
      <c r="L75" s="27">
        <f>ROUND(L72/32*10,4)</f>
        <v>-0.034</v>
      </c>
      <c r="M75" s="27">
        <f>ROUND(M72/32*10,4)</f>
        <v>0.0755</v>
      </c>
      <c r="N75" s="111">
        <f t="shared" si="27"/>
        <v>0.1738</v>
      </c>
      <c r="P75" s="134">
        <f>IF(ROUND((N75-($W$10/32*10)+(INPUT!E$88))/(1-INPUT!$B$56),2)&gt;N75,ROUND((N75-($W$10/32*10)+(INPUT!E$88))/(1-INPUT!$B$56),2),ROUND(N75+0.01,2))</f>
        <v>0.18</v>
      </c>
      <c r="Q75" s="111">
        <v>0.2289</v>
      </c>
      <c r="S75" s="134">
        <v>0.24</v>
      </c>
      <c r="T75" s="110">
        <f>N75-Q75</f>
        <v>-0.05509999999999998</v>
      </c>
      <c r="U75" s="34">
        <f>P75-S75</f>
        <v>-0.06</v>
      </c>
    </row>
    <row r="76" spans="1:21" ht="14.25" thickBot="1" thickTop="1">
      <c r="A76" s="263"/>
      <c r="B76" s="266"/>
      <c r="C76" s="18" t="s">
        <v>65</v>
      </c>
      <c r="D76" s="99">
        <f>'CNTNR COST'!G75</f>
        <v>0.0749</v>
      </c>
      <c r="E76" s="27">
        <v>0</v>
      </c>
      <c r="F76" s="23">
        <f>+$F$16</f>
        <v>0.0246</v>
      </c>
      <c r="G76" s="27">
        <f>ROUND($G$12/4,4)</f>
        <v>0</v>
      </c>
      <c r="H76" s="27">
        <f>ROUND($H$12/4,4)</f>
        <v>0.0026</v>
      </c>
      <c r="I76" s="27">
        <f t="shared" si="28"/>
        <v>0.1021</v>
      </c>
      <c r="J76" s="27">
        <f t="shared" si="26"/>
        <v>0.0037</v>
      </c>
      <c r="K76" s="27">
        <f t="shared" si="29"/>
        <v>0.1058</v>
      </c>
      <c r="L76" s="27">
        <f>ROUND(L$12/4,4)</f>
        <v>-0.0272</v>
      </c>
      <c r="M76" s="27">
        <f>ROUND(M$12/4,4)</f>
        <v>0.0604</v>
      </c>
      <c r="N76" s="111">
        <f t="shared" si="27"/>
        <v>0.139</v>
      </c>
      <c r="P76" s="134">
        <f>IF(ROUND((N76-($W$10/4)+(INPUT!E$89))/(1-INPUT!$B$56),2)&gt;N76,ROUND((N76-($W$10/4)+(INPUT!E$89))/(1-INPUT!$B$56),2),ROUND(N76+0.01,2))</f>
        <v>0.15</v>
      </c>
      <c r="Q76" s="111">
        <v>0.186</v>
      </c>
      <c r="S76" s="134">
        <v>0.2</v>
      </c>
      <c r="T76" s="110">
        <f>N76-Q76</f>
        <v>-0.046999999999999986</v>
      </c>
      <c r="U76" s="34">
        <f>P76-S76</f>
        <v>-0.05000000000000002</v>
      </c>
    </row>
    <row r="77" spans="1:21" ht="14.25" thickBot="1" thickTop="1">
      <c r="A77" s="263"/>
      <c r="B77" s="266"/>
      <c r="C77" s="18" t="s">
        <v>66</v>
      </c>
      <c r="D77" s="99">
        <f>'CNTNR COST'!G76</f>
        <v>0.0706</v>
      </c>
      <c r="E77" s="27">
        <v>0</v>
      </c>
      <c r="F77" s="23">
        <f>+$F$17</f>
        <v>0.0379</v>
      </c>
      <c r="G77" s="27">
        <f>ROUND($G$12/8,4)</f>
        <v>0</v>
      </c>
      <c r="H77" s="27">
        <f>ROUND($H$12/8,4)</f>
        <v>0.0013</v>
      </c>
      <c r="I77" s="27">
        <f t="shared" si="28"/>
        <v>0.1098</v>
      </c>
      <c r="J77" s="27">
        <f t="shared" si="26"/>
        <v>0.004</v>
      </c>
      <c r="K77" s="27">
        <f t="shared" si="29"/>
        <v>0.1138</v>
      </c>
      <c r="L77" s="27">
        <f>ROUND(L$12/8,4)</f>
        <v>-0.0136</v>
      </c>
      <c r="M77" s="27">
        <f>ROUND(M$12/8,4)</f>
        <v>0.0302</v>
      </c>
      <c r="N77" s="111">
        <f t="shared" si="27"/>
        <v>0.1304</v>
      </c>
      <c r="P77" s="134">
        <f>IF(ROUND((N77-($W$10/8)+(INPUT!E$90))/(1-INPUT!$B$56),2)&gt;N77,ROUND((N77-($W$10/8)+(INPUT!E$90))/(1-INPUT!$B$56),2),ROUND(N77+0.01,2))</f>
        <v>0.14</v>
      </c>
      <c r="Q77" s="111">
        <v>0.114</v>
      </c>
      <c r="S77" s="134">
        <v>0.12</v>
      </c>
      <c r="T77" s="110">
        <f>N77-Q77</f>
        <v>0.016399999999999984</v>
      </c>
      <c r="U77" s="34">
        <f>P77-S77</f>
        <v>0.020000000000000018</v>
      </c>
    </row>
    <row r="78" spans="1:21" ht="14.25" thickBot="1" thickTop="1">
      <c r="A78" s="264"/>
      <c r="B78" s="267"/>
      <c r="C78" s="18" t="s">
        <v>92</v>
      </c>
      <c r="D78" s="100">
        <f>'CNTNR COST'!G77</f>
        <v>0.3733</v>
      </c>
      <c r="E78" s="39">
        <v>0</v>
      </c>
      <c r="F78" s="36">
        <f>+$F$18</f>
        <v>0.121</v>
      </c>
      <c r="G78" s="39">
        <f>ROUND($G$12,4)</f>
        <v>0</v>
      </c>
      <c r="H78" s="39">
        <f>ROUND($H$12,4)</f>
        <v>0.0102</v>
      </c>
      <c r="I78" s="39">
        <f t="shared" si="28"/>
        <v>0.5045</v>
      </c>
      <c r="J78" s="39">
        <f t="shared" si="26"/>
        <v>0.0183</v>
      </c>
      <c r="K78" s="39">
        <f t="shared" si="29"/>
        <v>0.5228</v>
      </c>
      <c r="L78" s="39">
        <f>L$12</f>
        <v>-0.1088</v>
      </c>
      <c r="M78" s="39">
        <f>M$12</f>
        <v>0.2416</v>
      </c>
      <c r="N78" s="112">
        <f t="shared" si="27"/>
        <v>0.6556</v>
      </c>
      <c r="P78" s="37">
        <f>ROUND((N78-($W$10)+(INPUT!E$91))/(1-INPUT!$B$56),2)</f>
        <v>0.57</v>
      </c>
      <c r="Q78" s="112">
        <v>0.674</v>
      </c>
      <c r="S78" s="37">
        <v>0.72</v>
      </c>
      <c r="T78" s="110">
        <f>N78-Q78</f>
        <v>-0.018400000000000083</v>
      </c>
      <c r="U78" s="34">
        <f>P78-S78</f>
        <v>-0.15000000000000002</v>
      </c>
    </row>
    <row r="79" spans="3:21" ht="14.25" thickBot="1" thickTop="1">
      <c r="C79" s="176"/>
      <c r="D79" s="40"/>
      <c r="Q79" s="109"/>
      <c r="T79" s="110" t="s">
        <v>12</v>
      </c>
      <c r="U79" s="34" t="s">
        <v>12</v>
      </c>
    </row>
    <row r="80" spans="1:21" ht="14.25" thickBot="1" thickTop="1">
      <c r="A80" s="262" t="s">
        <v>29</v>
      </c>
      <c r="B80" s="268"/>
      <c r="C80" s="18" t="s">
        <v>14</v>
      </c>
      <c r="D80" s="98">
        <f>'CNTNR COST'!G79</f>
        <v>1.6198</v>
      </c>
      <c r="E80" s="38">
        <v>0</v>
      </c>
      <c r="F80" s="22">
        <f>+$F$10</f>
        <v>-0.0882</v>
      </c>
      <c r="G80" s="38">
        <f>ROUND($G$12*4,4)</f>
        <v>0</v>
      </c>
      <c r="H80" s="38">
        <f>ROUND($H$12*4,4)</f>
        <v>0.0408</v>
      </c>
      <c r="I80" s="38">
        <f aca="true" t="shared" si="30" ref="I80:I88">ROUND(SUM(D80:H80),4)</f>
        <v>1.5724</v>
      </c>
      <c r="J80" s="38">
        <f aca="true" t="shared" si="31" ref="J80:J98">ROUND((I80/(1-$J$5))-I80,4)</f>
        <v>0.057</v>
      </c>
      <c r="K80" s="38">
        <f aca="true" t="shared" si="32" ref="K80:K88">ROUND(I80+J80,4)</f>
        <v>1.6294</v>
      </c>
      <c r="L80" s="38">
        <f>ROUND(L$12*4,4)</f>
        <v>-0.4352</v>
      </c>
      <c r="M80" s="38">
        <f>ROUND(M$12*4,4)</f>
        <v>0.9664</v>
      </c>
      <c r="N80" s="110">
        <f aca="true" t="shared" si="33" ref="N80:N88">ROUND(SUM(K80:M80),4)</f>
        <v>2.1606</v>
      </c>
      <c r="P80" s="34">
        <f>ROUND((N80-($W$10*4)+(INPUT!E$83))/(1-INPUT!$B$56),2)</f>
        <v>1.8</v>
      </c>
      <c r="Q80" s="110">
        <v>2.3867</v>
      </c>
      <c r="S80" s="34">
        <v>2.56</v>
      </c>
      <c r="T80" s="110">
        <f t="shared" si="4"/>
        <v>-0.22609999999999975</v>
      </c>
      <c r="U80" s="34">
        <f t="shared" si="5"/>
        <v>-0.76</v>
      </c>
    </row>
    <row r="81" spans="1:21" ht="14.25" thickBot="1" thickTop="1">
      <c r="A81" s="263"/>
      <c r="B81" s="269"/>
      <c r="C81" s="18" t="s">
        <v>63</v>
      </c>
      <c r="D81" s="99">
        <f>'CNTNR COST'!G80</f>
        <v>0.8099</v>
      </c>
      <c r="E81" s="27">
        <v>0</v>
      </c>
      <c r="F81" s="23">
        <f>+$F$11</f>
        <v>-0.0561</v>
      </c>
      <c r="G81" s="27">
        <f>ROUND($G$12*2,4)</f>
        <v>0</v>
      </c>
      <c r="H81" s="27">
        <f>ROUND($H$12*2,4)</f>
        <v>0.0204</v>
      </c>
      <c r="I81" s="27">
        <f t="shared" si="30"/>
        <v>0.7742</v>
      </c>
      <c r="J81" s="27">
        <f t="shared" si="31"/>
        <v>0.0281</v>
      </c>
      <c r="K81" s="27">
        <f t="shared" si="32"/>
        <v>0.8023</v>
      </c>
      <c r="L81" s="27">
        <f>ROUND(L$12*2,4)</f>
        <v>-0.2176</v>
      </c>
      <c r="M81" s="27">
        <f>ROUND(M$12*2,4)</f>
        <v>0.4832</v>
      </c>
      <c r="N81" s="111">
        <f t="shared" si="33"/>
        <v>1.0679</v>
      </c>
      <c r="P81" s="35">
        <f>ROUND((N81-($W$10*2)+(INPUT!E$84))/(1-INPUT!$B$56),2)</f>
        <v>0.89</v>
      </c>
      <c r="Q81" s="111">
        <v>1.2332</v>
      </c>
      <c r="S81" s="35">
        <v>1.32</v>
      </c>
      <c r="T81" s="110">
        <f t="shared" si="4"/>
        <v>-0.1653</v>
      </c>
      <c r="U81" s="34">
        <f t="shared" si="5"/>
        <v>-0.43000000000000005</v>
      </c>
    </row>
    <row r="82" spans="1:21" ht="14.25" thickBot="1" thickTop="1">
      <c r="A82" s="263"/>
      <c r="B82" s="269"/>
      <c r="C82" s="18" t="s">
        <v>16</v>
      </c>
      <c r="D82" s="99">
        <f>'CNTNR COST'!G81</f>
        <v>0.4049</v>
      </c>
      <c r="E82" s="27">
        <v>0</v>
      </c>
      <c r="F82" s="23">
        <f>+$F$12</f>
        <v>0.0448</v>
      </c>
      <c r="G82" s="27">
        <f>ENERGY_ADDON</f>
        <v>0</v>
      </c>
      <c r="H82" s="27">
        <f>COST_UPDATE_ADJ</f>
        <v>0.0102</v>
      </c>
      <c r="I82" s="27">
        <f t="shared" si="30"/>
        <v>0.4599</v>
      </c>
      <c r="J82" s="27">
        <f t="shared" si="31"/>
        <v>0.0167</v>
      </c>
      <c r="K82" s="27">
        <f t="shared" si="32"/>
        <v>0.4766</v>
      </c>
      <c r="L82" s="27">
        <f>$L$12</f>
        <v>-0.1088</v>
      </c>
      <c r="M82" s="27">
        <f>$M$12</f>
        <v>0.2416</v>
      </c>
      <c r="N82" s="111">
        <f t="shared" si="33"/>
        <v>0.6094</v>
      </c>
      <c r="P82" s="35">
        <f>ROUND((N82-($W$10)+(INPUT!E$85))/(1-INPUT!$B$56),2)</f>
        <v>0.52</v>
      </c>
      <c r="Q82" s="111">
        <v>0.6533</v>
      </c>
      <c r="S82" s="35">
        <v>0.7</v>
      </c>
      <c r="T82" s="110">
        <f t="shared" si="4"/>
        <v>-0.04389999999999994</v>
      </c>
      <c r="U82" s="34">
        <f t="shared" si="5"/>
        <v>-0.17999999999999994</v>
      </c>
    </row>
    <row r="83" spans="1:21" ht="14.25" thickBot="1" thickTop="1">
      <c r="A83" s="263"/>
      <c r="B83" s="269"/>
      <c r="C83" s="18" t="s">
        <v>17</v>
      </c>
      <c r="D83" s="99">
        <f>'CNTNR COST'!G82</f>
        <v>0.2025</v>
      </c>
      <c r="E83" s="27">
        <v>0</v>
      </c>
      <c r="F83" s="23">
        <f>+$F$13</f>
        <v>0.1138</v>
      </c>
      <c r="G83" s="27">
        <f>ROUND($G$12/2,4)</f>
        <v>0</v>
      </c>
      <c r="H83" s="27">
        <f>ROUND($H$12/2,4)</f>
        <v>0.0051</v>
      </c>
      <c r="I83" s="27">
        <f t="shared" si="30"/>
        <v>0.3214</v>
      </c>
      <c r="J83" s="27">
        <f t="shared" si="31"/>
        <v>0.0117</v>
      </c>
      <c r="K83" s="27">
        <f t="shared" si="32"/>
        <v>0.3331</v>
      </c>
      <c r="L83" s="27">
        <f>ROUND(L$12/2,4)</f>
        <v>-0.0544</v>
      </c>
      <c r="M83" s="27">
        <f>ROUND(M$12/2,4)</f>
        <v>0.1208</v>
      </c>
      <c r="N83" s="111">
        <f t="shared" si="33"/>
        <v>0.3995</v>
      </c>
      <c r="P83" s="35">
        <f>ROUND((N83-($W$10/2)+(INPUT!E$86))/(1-INPUT!$B$56),2)</f>
        <v>0.36</v>
      </c>
      <c r="Q83" s="111">
        <v>0.362</v>
      </c>
      <c r="S83" s="35">
        <v>0.39</v>
      </c>
      <c r="T83" s="110">
        <f t="shared" si="4"/>
        <v>0.03750000000000003</v>
      </c>
      <c r="U83" s="34">
        <f t="shared" si="5"/>
        <v>-0.030000000000000027</v>
      </c>
    </row>
    <row r="84" spans="1:21" ht="14.25" thickBot="1" thickTop="1">
      <c r="A84" s="263"/>
      <c r="B84" s="269"/>
      <c r="C84" s="18" t="s">
        <v>161</v>
      </c>
      <c r="D84" s="99">
        <f>'CNTNR COST'!G83</f>
        <v>0.2149</v>
      </c>
      <c r="E84" s="27">
        <f>ROUND(E82/32*12,4)</f>
        <v>0</v>
      </c>
      <c r="F84" s="27">
        <f>+$F$14</f>
        <v>0</v>
      </c>
      <c r="G84" s="27">
        <f>ROUND($G$12/32*12,4)</f>
        <v>0</v>
      </c>
      <c r="H84" s="27">
        <f>ROUND($H$12/32*12,4)</f>
        <v>0.0038</v>
      </c>
      <c r="I84" s="27">
        <f t="shared" si="30"/>
        <v>0.2187</v>
      </c>
      <c r="J84" s="27">
        <f t="shared" si="31"/>
        <v>0.0079</v>
      </c>
      <c r="K84" s="27">
        <f t="shared" si="32"/>
        <v>0.2266</v>
      </c>
      <c r="L84" s="27">
        <f>ROUND(L82/32*12,4)</f>
        <v>-0.0408</v>
      </c>
      <c r="M84" s="27">
        <f>ROUND(M82/32*12,4)</f>
        <v>0.0906</v>
      </c>
      <c r="N84" s="111">
        <f t="shared" si="33"/>
        <v>0.2764</v>
      </c>
      <c r="P84" s="134">
        <f>IF(ROUND((N84-(($W$10/32)*12)+(INPUT!E$87))/(1-INPUT!$B$56),2)&gt;N84,ROUND((N84-($W$10/32*12)+(INPUT!$E$87))/(1-INPUT!$B$56),2),ROUND(N84+0.01,2))</f>
        <v>0.29</v>
      </c>
      <c r="Q84" s="111"/>
      <c r="S84" s="35"/>
      <c r="T84" s="110"/>
      <c r="U84" s="34"/>
    </row>
    <row r="85" spans="1:21" ht="14.25" thickBot="1" thickTop="1">
      <c r="A85" s="263"/>
      <c r="B85" s="269"/>
      <c r="C85" s="18" t="s">
        <v>64</v>
      </c>
      <c r="D85" s="99">
        <f>'CNTNR COST'!G84</f>
        <v>0.1575</v>
      </c>
      <c r="E85" s="27">
        <v>0</v>
      </c>
      <c r="F85" s="23">
        <f>+$F$15</f>
        <v>0</v>
      </c>
      <c r="G85" s="27">
        <f>ROUND($G$12/32*10,4)</f>
        <v>0</v>
      </c>
      <c r="H85" s="27">
        <f>ROUND($H$12/32*10,4)</f>
        <v>0.0032</v>
      </c>
      <c r="I85" s="27">
        <f t="shared" si="30"/>
        <v>0.1607</v>
      </c>
      <c r="J85" s="27">
        <f t="shared" si="31"/>
        <v>0.0058</v>
      </c>
      <c r="K85" s="27">
        <f t="shared" si="32"/>
        <v>0.1665</v>
      </c>
      <c r="L85" s="27">
        <f>ROUND(L82/32*10,4)</f>
        <v>-0.034</v>
      </c>
      <c r="M85" s="27">
        <f>ROUND(M82/32*10,4)</f>
        <v>0.0755</v>
      </c>
      <c r="N85" s="111">
        <f t="shared" si="33"/>
        <v>0.208</v>
      </c>
      <c r="P85" s="134">
        <f>IF(ROUND((N85-($W$10/32*10)+(INPUT!E$88))/(1-INPUT!$B$56),2)&gt;N85,ROUND((N85-($W$10/32*10)+(INPUT!E$88))/(1-INPUT!$B$56),2),ROUND(N85+0.01,2))</f>
        <v>0.22</v>
      </c>
      <c r="Q85" s="111">
        <v>0.2182</v>
      </c>
      <c r="S85" s="134">
        <v>0.23</v>
      </c>
      <c r="T85" s="110">
        <f t="shared" si="4"/>
        <v>-0.010200000000000015</v>
      </c>
      <c r="U85" s="34">
        <f t="shared" si="5"/>
        <v>-0.010000000000000009</v>
      </c>
    </row>
    <row r="86" spans="1:21" ht="14.25" thickBot="1" thickTop="1">
      <c r="A86" s="263"/>
      <c r="B86" s="269"/>
      <c r="C86" s="18" t="s">
        <v>65</v>
      </c>
      <c r="D86" s="99">
        <f>'CNTNR COST'!G85</f>
        <v>0.1013</v>
      </c>
      <c r="E86" s="27">
        <v>0</v>
      </c>
      <c r="F86" s="23">
        <f>+$F$16</f>
        <v>0.0246</v>
      </c>
      <c r="G86" s="27">
        <f>ROUND($G$12/4,4)</f>
        <v>0</v>
      </c>
      <c r="H86" s="27">
        <f>ROUND($H$12/4,4)</f>
        <v>0.0026</v>
      </c>
      <c r="I86" s="27">
        <f t="shared" si="30"/>
        <v>0.1285</v>
      </c>
      <c r="J86" s="27">
        <f t="shared" si="31"/>
        <v>0.0047</v>
      </c>
      <c r="K86" s="27">
        <f t="shared" si="32"/>
        <v>0.1332</v>
      </c>
      <c r="L86" s="27">
        <f>ROUND(L$12/4,4)</f>
        <v>-0.0272</v>
      </c>
      <c r="M86" s="27">
        <f>ROUND(M$12/4,4)</f>
        <v>0.0604</v>
      </c>
      <c r="N86" s="111">
        <f t="shared" si="33"/>
        <v>0.1664</v>
      </c>
      <c r="P86" s="134">
        <f>IF(ROUND((N86-($W$10/4)+(INPUT!E$89))/(1-INPUT!$B$56),2)&gt;N86,ROUND((N86-($W$10/4)+(INPUT!E$89))/(1-INPUT!$B$56),2),ROUND(N86+0.01,2))</f>
        <v>0.18</v>
      </c>
      <c r="Q86" s="111">
        <v>0.1773</v>
      </c>
      <c r="S86" s="134">
        <v>0.19</v>
      </c>
      <c r="T86" s="110">
        <f t="shared" si="4"/>
        <v>-0.01090000000000002</v>
      </c>
      <c r="U86" s="34">
        <f t="shared" si="5"/>
        <v>-0.010000000000000009</v>
      </c>
    </row>
    <row r="87" spans="1:21" ht="14.25" thickBot="1" thickTop="1">
      <c r="A87" s="263"/>
      <c r="B87" s="269"/>
      <c r="C87" s="18" t="s">
        <v>66</v>
      </c>
      <c r="D87" s="99">
        <f>'CNTNR COST'!G86</f>
        <v>0.0837</v>
      </c>
      <c r="E87" s="27">
        <v>0</v>
      </c>
      <c r="F87" s="23">
        <f>+$F$17</f>
        <v>0.0379</v>
      </c>
      <c r="G87" s="27">
        <f>ROUND($G$12/8,4)</f>
        <v>0</v>
      </c>
      <c r="H87" s="27">
        <f>ROUND($H$12/8,4)</f>
        <v>0.0013</v>
      </c>
      <c r="I87" s="27">
        <f t="shared" si="30"/>
        <v>0.1229</v>
      </c>
      <c r="J87" s="27">
        <f t="shared" si="31"/>
        <v>0.0045</v>
      </c>
      <c r="K87" s="27">
        <f t="shared" si="32"/>
        <v>0.1274</v>
      </c>
      <c r="L87" s="27">
        <f>ROUND(L$12/8,4)</f>
        <v>-0.0136</v>
      </c>
      <c r="M87" s="27">
        <f>ROUND(M$12/8,4)</f>
        <v>0.0302</v>
      </c>
      <c r="N87" s="111">
        <f t="shared" si="33"/>
        <v>0.144</v>
      </c>
      <c r="P87" s="134">
        <f>IF(ROUND((N87-($W$10/8)+(INPUT!E$90))/(1-INPUT!$B$56),2)&gt;N87,ROUND((N87-($W$10/8)+(INPUT!E$90))/(1-INPUT!$B$56),2),ROUND(N87+0.01,2))</f>
        <v>0.15</v>
      </c>
      <c r="Q87" s="111">
        <v>0.1097</v>
      </c>
      <c r="S87" s="134">
        <v>0.12</v>
      </c>
      <c r="T87" s="110">
        <f t="shared" si="4"/>
        <v>0.03429999999999998</v>
      </c>
      <c r="U87" s="34">
        <f t="shared" si="5"/>
        <v>0.03</v>
      </c>
    </row>
    <row r="88" spans="1:21" ht="14.25" thickBot="1" thickTop="1">
      <c r="A88" s="264"/>
      <c r="B88" s="270"/>
      <c r="C88" s="18" t="s">
        <v>92</v>
      </c>
      <c r="D88" s="100">
        <f>'CNTNR COST'!G87</f>
        <v>0.4787</v>
      </c>
      <c r="E88" s="39">
        <v>0</v>
      </c>
      <c r="F88" s="36">
        <f>+$F$18</f>
        <v>0.121</v>
      </c>
      <c r="G88" s="39">
        <f>ROUND($G$12,4)</f>
        <v>0</v>
      </c>
      <c r="H88" s="39">
        <f>ROUND($H$12,4)</f>
        <v>0.0102</v>
      </c>
      <c r="I88" s="39">
        <f t="shared" si="30"/>
        <v>0.6099</v>
      </c>
      <c r="J88" s="39">
        <f t="shared" si="31"/>
        <v>0.0221</v>
      </c>
      <c r="K88" s="39">
        <f t="shared" si="32"/>
        <v>0.632</v>
      </c>
      <c r="L88" s="39">
        <f>L$12</f>
        <v>-0.1088</v>
      </c>
      <c r="M88" s="39">
        <f>M$12</f>
        <v>0.2416</v>
      </c>
      <c r="N88" s="112">
        <f t="shared" si="33"/>
        <v>0.7648</v>
      </c>
      <c r="P88" s="37">
        <f>ROUND((N88-($W$10)+(INPUT!E$91))/(1-INPUT!$B$56),2)</f>
        <v>0.68</v>
      </c>
      <c r="Q88" s="112">
        <v>0.6395</v>
      </c>
      <c r="S88" s="37">
        <v>0.68</v>
      </c>
      <c r="T88" s="110">
        <f t="shared" si="4"/>
        <v>0.12530000000000008</v>
      </c>
      <c r="U88" s="34">
        <f t="shared" si="5"/>
        <v>0</v>
      </c>
    </row>
    <row r="89" spans="1:21" ht="14.25" thickBot="1" thickTop="1">
      <c r="A89" s="181"/>
      <c r="B89" s="182"/>
      <c r="C89" s="176"/>
      <c r="D89" s="133"/>
      <c r="E89" s="133"/>
      <c r="F89" s="122"/>
      <c r="G89" s="122"/>
      <c r="H89" s="133"/>
      <c r="I89" s="133"/>
      <c r="J89" s="133"/>
      <c r="K89" s="133"/>
      <c r="L89" s="133"/>
      <c r="M89" s="133"/>
      <c r="N89" s="183"/>
      <c r="P89" s="184"/>
      <c r="Q89" s="183"/>
      <c r="S89" s="184"/>
      <c r="T89" s="110"/>
      <c r="U89" s="34"/>
    </row>
    <row r="90" spans="1:21" ht="14.25" customHeight="1" thickBot="1" thickTop="1">
      <c r="A90" s="262" t="s">
        <v>155</v>
      </c>
      <c r="B90" s="268"/>
      <c r="C90" s="18" t="s">
        <v>14</v>
      </c>
      <c r="D90" s="98">
        <f>'CNTNR COST'!G89</f>
        <v>3.8452</v>
      </c>
      <c r="E90" s="38">
        <v>0</v>
      </c>
      <c r="F90" s="22">
        <f>+$F$10</f>
        <v>-0.0882</v>
      </c>
      <c r="G90" s="38">
        <f>ROUND($G$12*4,4)</f>
        <v>0</v>
      </c>
      <c r="H90" s="38">
        <f>ROUND($H$12*4,4)</f>
        <v>0.0408</v>
      </c>
      <c r="I90" s="38">
        <f>ROUND(SUM(D90:H90),4)</f>
        <v>3.7978</v>
      </c>
      <c r="J90" s="38">
        <f t="shared" si="31"/>
        <v>0.1377</v>
      </c>
      <c r="K90" s="38">
        <f>ROUND(I90+J90,4)</f>
        <v>3.9355</v>
      </c>
      <c r="L90" s="38">
        <f>ROUND(L$12*4,4)</f>
        <v>-0.4352</v>
      </c>
      <c r="M90" s="38">
        <f>ROUND(M$12*4,4)</f>
        <v>0.9664</v>
      </c>
      <c r="N90" s="110">
        <f aca="true" t="shared" si="34" ref="N90:N98">ROUND(SUM(K90:M90),4)</f>
        <v>4.4667</v>
      </c>
      <c r="P90" s="34">
        <f>ROUND((N90-($W$10*4)+(INPUT!E$83))/(1-INPUT!$B$56),2)</f>
        <v>4.17</v>
      </c>
      <c r="Q90" s="110">
        <v>2.3867</v>
      </c>
      <c r="S90" s="34">
        <v>2.56</v>
      </c>
      <c r="T90" s="110"/>
      <c r="U90" s="34"/>
    </row>
    <row r="91" spans="1:21" ht="14.25" thickBot="1" thickTop="1">
      <c r="A91" s="263"/>
      <c r="B91" s="269"/>
      <c r="C91" s="18" t="s">
        <v>63</v>
      </c>
      <c r="D91" s="99">
        <f>'CNTNR COST'!G90</f>
        <v>1.9226</v>
      </c>
      <c r="E91" s="27">
        <v>0</v>
      </c>
      <c r="F91" s="23">
        <f>+$F$11</f>
        <v>-0.0561</v>
      </c>
      <c r="G91" s="27">
        <f>ROUND($G$12*2,4)</f>
        <v>0</v>
      </c>
      <c r="H91" s="27">
        <f>ROUND($H$12*2,4)</f>
        <v>0.0204</v>
      </c>
      <c r="I91" s="27">
        <f aca="true" t="shared" si="35" ref="I91:I98">ROUND(SUM(D91:H91),4)</f>
        <v>1.8869</v>
      </c>
      <c r="J91" s="27">
        <f t="shared" si="31"/>
        <v>0.0684</v>
      </c>
      <c r="K91" s="27">
        <f aca="true" t="shared" si="36" ref="K91:K98">ROUND(I91+J91,4)</f>
        <v>1.9553</v>
      </c>
      <c r="L91" s="27">
        <f>ROUND(L$12*2,4)</f>
        <v>-0.2176</v>
      </c>
      <c r="M91" s="27">
        <f>ROUND(M$12*2,4)</f>
        <v>0.4832</v>
      </c>
      <c r="N91" s="111">
        <f t="shared" si="34"/>
        <v>2.2209</v>
      </c>
      <c r="P91" s="35">
        <f>ROUND((N91-($W$10*2)+(INPUT!E$84))/(1-INPUT!$B$56),2)</f>
        <v>2.07</v>
      </c>
      <c r="Q91" s="111">
        <v>1.2332</v>
      </c>
      <c r="S91" s="35">
        <v>1.32</v>
      </c>
      <c r="T91" s="110"/>
      <c r="U91" s="34"/>
    </row>
    <row r="92" spans="1:21" ht="14.25" thickBot="1" thickTop="1">
      <c r="A92" s="263"/>
      <c r="B92" s="269"/>
      <c r="C92" s="18" t="s">
        <v>16</v>
      </c>
      <c r="D92" s="99">
        <f>'CNTNR COST'!G91</f>
        <v>0.9613</v>
      </c>
      <c r="E92" s="27">
        <v>0</v>
      </c>
      <c r="F92" s="23">
        <f>+$F$12</f>
        <v>0.0448</v>
      </c>
      <c r="G92" s="27">
        <f>ENERGY_ADDON</f>
        <v>0</v>
      </c>
      <c r="H92" s="27">
        <f>COST_UPDATE_ADJ</f>
        <v>0.0102</v>
      </c>
      <c r="I92" s="27">
        <f t="shared" si="35"/>
        <v>1.0163</v>
      </c>
      <c r="J92" s="27">
        <f t="shared" si="31"/>
        <v>0.0369</v>
      </c>
      <c r="K92" s="27">
        <f t="shared" si="36"/>
        <v>1.0532</v>
      </c>
      <c r="L92" s="27">
        <f>$L$12</f>
        <v>-0.1088</v>
      </c>
      <c r="M92" s="27">
        <f>$M$12</f>
        <v>0.2416</v>
      </c>
      <c r="N92" s="111">
        <f t="shared" si="34"/>
        <v>1.186</v>
      </c>
      <c r="P92" s="35">
        <f>ROUND((N92-($W$10)+(INPUT!E$85))/(1-INPUT!$B$56),2)</f>
        <v>1.11</v>
      </c>
      <c r="Q92" s="111">
        <v>0.6533</v>
      </c>
      <c r="S92" s="35">
        <v>0.7</v>
      </c>
      <c r="T92" s="110"/>
      <c r="U92" s="34"/>
    </row>
    <row r="93" spans="1:21" ht="14.25" thickBot="1" thickTop="1">
      <c r="A93" s="263"/>
      <c r="B93" s="269"/>
      <c r="C93" s="18" t="s">
        <v>17</v>
      </c>
      <c r="D93" s="99">
        <f>'CNTNR COST'!G92</f>
        <v>0.4807</v>
      </c>
      <c r="E93" s="27">
        <v>0</v>
      </c>
      <c r="F93" s="23">
        <f>+$F$13</f>
        <v>0.1138</v>
      </c>
      <c r="G93" s="27">
        <f>ROUND($G$12/2,4)</f>
        <v>0</v>
      </c>
      <c r="H93" s="27">
        <f>ROUND($H$12/2,4)</f>
        <v>0.0051</v>
      </c>
      <c r="I93" s="27">
        <f t="shared" si="35"/>
        <v>0.5996</v>
      </c>
      <c r="J93" s="27">
        <f t="shared" si="31"/>
        <v>0.0217</v>
      </c>
      <c r="K93" s="27">
        <f t="shared" si="36"/>
        <v>0.6213</v>
      </c>
      <c r="L93" s="27">
        <f>ROUND(L$12/2,4)</f>
        <v>-0.0544</v>
      </c>
      <c r="M93" s="27">
        <f>ROUND(M$12/2,4)</f>
        <v>0.1208</v>
      </c>
      <c r="N93" s="111">
        <f t="shared" si="34"/>
        <v>0.6877</v>
      </c>
      <c r="P93" s="35">
        <f>ROUND((N93-($W$10/2)+(INPUT!E$86))/(1-INPUT!$B$56),2)</f>
        <v>0.65</v>
      </c>
      <c r="Q93" s="111">
        <v>0.362</v>
      </c>
      <c r="S93" s="35">
        <v>0.39</v>
      </c>
      <c r="T93" s="110"/>
      <c r="U93" s="34"/>
    </row>
    <row r="94" spans="1:21" ht="14.25" thickBot="1" thickTop="1">
      <c r="A94" s="263"/>
      <c r="B94" s="269"/>
      <c r="C94" s="18" t="s">
        <v>161</v>
      </c>
      <c r="D94" s="99">
        <f>'CNTNR COST'!G93</f>
        <v>0.4235</v>
      </c>
      <c r="E94" s="27">
        <f>ROUND(E92/32*12,4)</f>
        <v>0</v>
      </c>
      <c r="F94" s="27">
        <f>+$F$14</f>
        <v>0</v>
      </c>
      <c r="G94" s="27">
        <f>ROUND($G$12/32*12,4)</f>
        <v>0</v>
      </c>
      <c r="H94" s="27">
        <f>ROUND($H$12/32*12,4)</f>
        <v>0.0038</v>
      </c>
      <c r="I94" s="27">
        <f t="shared" si="35"/>
        <v>0.4273</v>
      </c>
      <c r="J94" s="27">
        <f t="shared" si="31"/>
        <v>0.0155</v>
      </c>
      <c r="K94" s="27">
        <f t="shared" si="36"/>
        <v>0.4428</v>
      </c>
      <c r="L94" s="27">
        <f>ROUND(L92/32*12,4)</f>
        <v>-0.0408</v>
      </c>
      <c r="M94" s="27">
        <f>ROUND(M92/32*12,4)</f>
        <v>0.0906</v>
      </c>
      <c r="N94" s="111">
        <f t="shared" si="34"/>
        <v>0.4926</v>
      </c>
      <c r="P94" s="134">
        <f>IF(ROUND((N94-(($W$10/32)*12)+(INPUT!E$87))/(1-INPUT!$B$56),2)&gt;N94,ROUND((N94-($W$10/32*12)+(INPUT!$E$87))/(1-INPUT!$B$56),2),ROUND(N94+0.01,2))</f>
        <v>0.5</v>
      </c>
      <c r="Q94" s="111"/>
      <c r="S94" s="35"/>
      <c r="T94" s="110"/>
      <c r="U94" s="34"/>
    </row>
    <row r="95" spans="1:21" ht="14.25" thickBot="1" thickTop="1">
      <c r="A95" s="263"/>
      <c r="B95" s="269"/>
      <c r="C95" s="18" t="s">
        <v>64</v>
      </c>
      <c r="D95" s="99">
        <f>'CNTNR COST'!G94</f>
        <v>0.3313</v>
      </c>
      <c r="E95" s="27">
        <v>0</v>
      </c>
      <c r="F95" s="23">
        <f>+$F$15</f>
        <v>0</v>
      </c>
      <c r="G95" s="27">
        <f>ROUND($G$12/32*10,4)</f>
        <v>0</v>
      </c>
      <c r="H95" s="27">
        <f>ROUND($H$12/32*10,4)</f>
        <v>0.0032</v>
      </c>
      <c r="I95" s="27">
        <f t="shared" si="35"/>
        <v>0.3345</v>
      </c>
      <c r="J95" s="27">
        <f t="shared" si="31"/>
        <v>0.0121</v>
      </c>
      <c r="K95" s="27">
        <f t="shared" si="36"/>
        <v>0.3466</v>
      </c>
      <c r="L95" s="27">
        <f>ROUND(L92/32*10,4)</f>
        <v>-0.034</v>
      </c>
      <c r="M95" s="27">
        <f>ROUND(M92/32*10,4)</f>
        <v>0.0755</v>
      </c>
      <c r="N95" s="111">
        <f t="shared" si="34"/>
        <v>0.3881</v>
      </c>
      <c r="P95" s="134">
        <f>IF(ROUND((N95-($W$10/32*10)+(INPUT!E$88))/(1-INPUT!$B$56),2)&gt;N95,ROUND((N95-($W$10/32*10)+(INPUT!E$88))/(1-INPUT!$B$56),2),ROUND(N95+0.01,2))</f>
        <v>0.4</v>
      </c>
      <c r="Q95" s="111">
        <v>0.2182</v>
      </c>
      <c r="S95" s="134">
        <v>0.23</v>
      </c>
      <c r="T95" s="110"/>
      <c r="U95" s="34"/>
    </row>
    <row r="96" spans="1:21" ht="14.25" thickBot="1" thickTop="1">
      <c r="A96" s="263"/>
      <c r="B96" s="269"/>
      <c r="C96" s="18" t="s">
        <v>65</v>
      </c>
      <c r="D96" s="99">
        <f>'CNTNR COST'!G95</f>
        <v>0.2404</v>
      </c>
      <c r="E96" s="27">
        <v>0</v>
      </c>
      <c r="F96" s="23">
        <f>+$F$16</f>
        <v>0.0246</v>
      </c>
      <c r="G96" s="27">
        <f>ROUND($G$12/4,4)</f>
        <v>0</v>
      </c>
      <c r="H96" s="27">
        <f>ROUND($H$12/4,4)</f>
        <v>0.0026</v>
      </c>
      <c r="I96" s="27">
        <f t="shared" si="35"/>
        <v>0.2676</v>
      </c>
      <c r="J96" s="27">
        <f t="shared" si="31"/>
        <v>0.0097</v>
      </c>
      <c r="K96" s="27">
        <f t="shared" si="36"/>
        <v>0.2773</v>
      </c>
      <c r="L96" s="27">
        <f>ROUND(L$12/4,4)</f>
        <v>-0.0272</v>
      </c>
      <c r="M96" s="27">
        <f>ROUND(M$12/4,4)</f>
        <v>0.0604</v>
      </c>
      <c r="N96" s="111">
        <f t="shared" si="34"/>
        <v>0.3105</v>
      </c>
      <c r="P96" s="134">
        <f>IF(ROUND((N96-($W$10/4)+(INPUT!E$89))/(1-INPUT!$B$56),2)&gt;N96,ROUND((N96-($W$10/4)+(INPUT!E$89))/(1-INPUT!$B$56),2),ROUND(N96+0.01,2))</f>
        <v>0.32</v>
      </c>
      <c r="Q96" s="111">
        <v>0.1773</v>
      </c>
      <c r="S96" s="134">
        <v>0.19</v>
      </c>
      <c r="T96" s="110"/>
      <c r="U96" s="34"/>
    </row>
    <row r="97" spans="1:21" ht="14.25" thickBot="1" thickTop="1">
      <c r="A97" s="263"/>
      <c r="B97" s="269"/>
      <c r="C97" s="18" t="s">
        <v>66</v>
      </c>
      <c r="D97" s="99">
        <f>'CNTNR COST'!G96</f>
        <v>0.1533</v>
      </c>
      <c r="E97" s="27">
        <v>0</v>
      </c>
      <c r="F97" s="23">
        <f>+$F$17</f>
        <v>0.0379</v>
      </c>
      <c r="G97" s="27">
        <f>ROUND($G$12/8,4)</f>
        <v>0</v>
      </c>
      <c r="H97" s="27">
        <f>ROUND($H$12/8,4)</f>
        <v>0.0013</v>
      </c>
      <c r="I97" s="27">
        <f t="shared" si="35"/>
        <v>0.1925</v>
      </c>
      <c r="J97" s="27">
        <f t="shared" si="31"/>
        <v>0.007</v>
      </c>
      <c r="K97" s="27">
        <f t="shared" si="36"/>
        <v>0.1995</v>
      </c>
      <c r="L97" s="27">
        <f>ROUND(L$12/8,4)</f>
        <v>-0.0136</v>
      </c>
      <c r="M97" s="27">
        <f>ROUND(M$12/8,4)</f>
        <v>0.0302</v>
      </c>
      <c r="N97" s="111">
        <f t="shared" si="34"/>
        <v>0.2161</v>
      </c>
      <c r="P97" s="134">
        <f>IF(ROUND((N97-($W$10/8)+(INPUT!E$90))/(1-INPUT!$B$56),2)&gt;N97,ROUND((N97-($W$10/8)+(INPUT!E$90))/(1-INPUT!$B$56),2),ROUND(N97+0.01,2))</f>
        <v>0.23</v>
      </c>
      <c r="Q97" s="111">
        <v>0.1097</v>
      </c>
      <c r="S97" s="134">
        <v>0.12</v>
      </c>
      <c r="T97" s="110"/>
      <c r="U97" s="34"/>
    </row>
    <row r="98" spans="1:21" ht="14.25" thickBot="1" thickTop="1">
      <c r="A98" s="264"/>
      <c r="B98" s="270"/>
      <c r="C98" s="18" t="s">
        <v>92</v>
      </c>
      <c r="D98" s="100">
        <f>'CNTNR COST'!G97</f>
        <v>1.0351</v>
      </c>
      <c r="E98" s="39">
        <v>0</v>
      </c>
      <c r="F98" s="36">
        <f>+$F$18</f>
        <v>0.121</v>
      </c>
      <c r="G98" s="39">
        <f>ROUND($G$12,4)</f>
        <v>0</v>
      </c>
      <c r="H98" s="39">
        <f>ROUND($H$12,4)</f>
        <v>0.0102</v>
      </c>
      <c r="I98" s="39">
        <f t="shared" si="35"/>
        <v>1.1663</v>
      </c>
      <c r="J98" s="39">
        <f t="shared" si="31"/>
        <v>0.0423</v>
      </c>
      <c r="K98" s="39">
        <f t="shared" si="36"/>
        <v>1.2086</v>
      </c>
      <c r="L98" s="39">
        <f>L$12</f>
        <v>-0.1088</v>
      </c>
      <c r="M98" s="39">
        <f>M$12</f>
        <v>0.2416</v>
      </c>
      <c r="N98" s="112">
        <f t="shared" si="34"/>
        <v>1.3414</v>
      </c>
      <c r="P98" s="37">
        <f>ROUND((N98-($W$10)+(INPUT!E$91))/(1-INPUT!$B$56),2)</f>
        <v>1.27</v>
      </c>
      <c r="Q98" s="112">
        <v>0.6395</v>
      </c>
      <c r="S98" s="37">
        <v>0.68</v>
      </c>
      <c r="T98" s="110" t="s">
        <v>12</v>
      </c>
      <c r="U98" s="34" t="s">
        <v>12</v>
      </c>
    </row>
    <row r="99" spans="1:21" ht="14.25" thickBot="1" thickTop="1">
      <c r="A99" s="179"/>
      <c r="B99" s="180"/>
      <c r="C99" s="18"/>
      <c r="D99" s="185"/>
      <c r="E99" s="186"/>
      <c r="F99" s="187"/>
      <c r="G99" s="187"/>
      <c r="H99" s="186"/>
      <c r="I99" s="186"/>
      <c r="J99" s="186"/>
      <c r="K99" s="186"/>
      <c r="L99" s="186"/>
      <c r="M99" s="186"/>
      <c r="N99" s="188"/>
      <c r="P99" s="189"/>
      <c r="Q99" s="188"/>
      <c r="S99" s="189"/>
      <c r="T99" s="110"/>
      <c r="U99" s="34"/>
    </row>
    <row r="100" spans="1:21" ht="14.25" thickBot="1" thickTop="1">
      <c r="A100" s="262" t="s">
        <v>68</v>
      </c>
      <c r="B100" s="268"/>
      <c r="C100" s="18" t="s">
        <v>63</v>
      </c>
      <c r="D100" s="98">
        <f>'CNTNR COST'!G99</f>
        <v>0.595</v>
      </c>
      <c r="E100" s="38">
        <f>ROUND(E101*2,4)</f>
        <v>0.4008</v>
      </c>
      <c r="F100" s="22">
        <f>+$F$11</f>
        <v>-0.0561</v>
      </c>
      <c r="G100" s="27">
        <f>ROUND($G$12*2,4)</f>
        <v>0</v>
      </c>
      <c r="H100" s="38">
        <f>ROUND($H$12*2,4)</f>
        <v>0.0204</v>
      </c>
      <c r="I100" s="38">
        <f>ROUND(SUM(D100:H100),4)</f>
        <v>0.9601</v>
      </c>
      <c r="J100" s="38">
        <f aca="true" t="shared" si="37" ref="J100:J110">ROUND((I100/(1-$J$5))-I100,4)</f>
        <v>0.0348</v>
      </c>
      <c r="K100" s="38">
        <f>ROUND(I100+J100,4)</f>
        <v>0.9949</v>
      </c>
      <c r="L100" s="38">
        <f>ROUND(L$12*2,4)</f>
        <v>-0.2176</v>
      </c>
      <c r="M100" s="38">
        <f>ROUND(M$12*2,4)</f>
        <v>0.4832</v>
      </c>
      <c r="N100" s="110">
        <f aca="true" t="shared" si="38" ref="N100:N110">ROUND(SUM(K100:M100),4)</f>
        <v>1.2605</v>
      </c>
      <c r="P100" s="34">
        <f>ROUND((N100-($W$10*2)+(INPUT!E$84))/(1-INPUT!$B$56),2)</f>
        <v>1.09</v>
      </c>
      <c r="Q100" s="110">
        <v>2.192</v>
      </c>
      <c r="S100" s="34">
        <v>2.3</v>
      </c>
      <c r="T100" s="110">
        <f t="shared" si="4"/>
        <v>-0.9315000000000002</v>
      </c>
      <c r="U100" s="34">
        <f t="shared" si="5"/>
        <v>-1.2099999999999997</v>
      </c>
    </row>
    <row r="101" spans="1:21" ht="14.25" thickBot="1" thickTop="1">
      <c r="A101" s="263"/>
      <c r="B101" s="269"/>
      <c r="C101" s="18" t="s">
        <v>16</v>
      </c>
      <c r="D101" s="99">
        <f>'CNTNR COST'!G100</f>
        <v>0.2975</v>
      </c>
      <c r="E101" s="27">
        <f>H_AND_H_ADDON</f>
        <v>0.2004</v>
      </c>
      <c r="F101" s="23">
        <f>+$F$12</f>
        <v>0.0448</v>
      </c>
      <c r="G101" s="27">
        <f>ENERGY_ADDON</f>
        <v>0</v>
      </c>
      <c r="H101" s="27">
        <f>COST_UPDATE_ADJ</f>
        <v>0.0102</v>
      </c>
      <c r="I101" s="27">
        <f aca="true" t="shared" si="39" ref="I101:I110">ROUND(SUM(D101:H101),4)</f>
        <v>0.5529</v>
      </c>
      <c r="J101" s="27">
        <f t="shared" si="37"/>
        <v>0.0201</v>
      </c>
      <c r="K101" s="27">
        <f aca="true" t="shared" si="40" ref="K101:K109">ROUND(I101+J101,4)</f>
        <v>0.573</v>
      </c>
      <c r="L101" s="27">
        <f>$L$12</f>
        <v>-0.1088</v>
      </c>
      <c r="M101" s="27">
        <f>$M$12</f>
        <v>0.2416</v>
      </c>
      <c r="N101" s="111">
        <f t="shared" si="38"/>
        <v>0.7058</v>
      </c>
      <c r="P101" s="35">
        <f>ROUND((N101-($W$10)+(INPUT!E$85))/(1-INPUT!$B$56),2)</f>
        <v>0.62</v>
      </c>
      <c r="Q101" s="111">
        <v>1.1327</v>
      </c>
      <c r="S101" s="35">
        <v>1.19</v>
      </c>
      <c r="T101" s="110">
        <f t="shared" si="4"/>
        <v>-0.42690000000000006</v>
      </c>
      <c r="U101" s="34">
        <f t="shared" si="5"/>
        <v>-0.57</v>
      </c>
    </row>
    <row r="102" spans="1:21" ht="14.25" thickBot="1" thickTop="1">
      <c r="A102" s="263"/>
      <c r="B102" s="269"/>
      <c r="C102" s="18" t="s">
        <v>17</v>
      </c>
      <c r="D102" s="99">
        <f>'CNTNR COST'!G101</f>
        <v>0.1488</v>
      </c>
      <c r="E102" s="27">
        <f>ROUND(E101/2,4)</f>
        <v>0.1002</v>
      </c>
      <c r="F102" s="23">
        <f>+$F$13</f>
        <v>0.1138</v>
      </c>
      <c r="G102" s="27">
        <f>ROUND($G$12/2,4)</f>
        <v>0</v>
      </c>
      <c r="H102" s="27">
        <f>ROUND($H$12/2,4)</f>
        <v>0.0051</v>
      </c>
      <c r="I102" s="27">
        <f t="shared" si="39"/>
        <v>0.3679</v>
      </c>
      <c r="J102" s="27">
        <f t="shared" si="37"/>
        <v>0.0133</v>
      </c>
      <c r="K102" s="27">
        <f t="shared" si="40"/>
        <v>0.3812</v>
      </c>
      <c r="L102" s="27">
        <f>ROUND(L$12/2,4)</f>
        <v>-0.0544</v>
      </c>
      <c r="M102" s="27">
        <f>ROUND(M$12/2,4)</f>
        <v>0.1208</v>
      </c>
      <c r="N102" s="111">
        <f t="shared" si="38"/>
        <v>0.4476</v>
      </c>
      <c r="P102" s="35">
        <f>ROUND((N102-($W$10/2)+(INPUT!E$86))/(1-INPUT!$B$56),2)</f>
        <v>0.41</v>
      </c>
      <c r="Q102" s="111">
        <v>0.6017</v>
      </c>
      <c r="S102" s="35">
        <v>0.63</v>
      </c>
      <c r="T102" s="110">
        <f aca="true" t="shared" si="41" ref="T102:T146">N102-Q102</f>
        <v>-0.15410000000000001</v>
      </c>
      <c r="U102" s="34">
        <f aca="true" t="shared" si="42" ref="U102:U146">P102-S102</f>
        <v>-0.22000000000000003</v>
      </c>
    </row>
    <row r="103" spans="1:21" ht="14.25" thickBot="1" thickTop="1">
      <c r="A103" s="263"/>
      <c r="B103" s="269"/>
      <c r="C103" s="18" t="s">
        <v>161</v>
      </c>
      <c r="D103" s="99">
        <f>'CNTNR COST'!G102</f>
        <v>0.1746</v>
      </c>
      <c r="E103" s="27">
        <f>ROUND(E101/32*12,4)</f>
        <v>0.0752</v>
      </c>
      <c r="F103" s="27">
        <f>+$F$14</f>
        <v>0</v>
      </c>
      <c r="G103" s="27">
        <f>ROUND($G$12/32*12,4)</f>
        <v>0</v>
      </c>
      <c r="H103" s="27">
        <f>ROUND($H$12/32*12,4)</f>
        <v>0.0038</v>
      </c>
      <c r="I103" s="27">
        <f t="shared" si="39"/>
        <v>0.2536</v>
      </c>
      <c r="J103" s="27">
        <f t="shared" si="37"/>
        <v>0.0092</v>
      </c>
      <c r="K103" s="27">
        <f t="shared" si="40"/>
        <v>0.2628</v>
      </c>
      <c r="L103" s="27">
        <f>ROUND(L101/32*12,4)</f>
        <v>-0.0408</v>
      </c>
      <c r="M103" s="27">
        <f>ROUND(M101/32*12,4)</f>
        <v>0.0906</v>
      </c>
      <c r="N103" s="111">
        <f t="shared" si="38"/>
        <v>0.3126</v>
      </c>
      <c r="P103" s="134">
        <f>IF(ROUND((N103-(($W$10/32)*12)+(INPUT!E$87))/(1-INPUT!$B$56),2)&gt;N103,ROUND((N103-($W$10/32*12)+(INPUT!$E$87))/(1-INPUT!$B$56),2),ROUND(N103+0.01,2))</f>
        <v>0.32</v>
      </c>
      <c r="Q103" s="111"/>
      <c r="S103" s="35"/>
      <c r="T103" s="110"/>
      <c r="U103" s="34"/>
    </row>
    <row r="104" spans="1:21" ht="14.25" thickBot="1" thickTop="1">
      <c r="A104" s="263"/>
      <c r="B104" s="269"/>
      <c r="C104" s="18" t="s">
        <v>64</v>
      </c>
      <c r="D104" s="99">
        <f>'CNTNR COST'!G103</f>
        <v>0.1239</v>
      </c>
      <c r="E104" s="27">
        <f>ROUND(E101/32*10,4)</f>
        <v>0.0626</v>
      </c>
      <c r="F104" s="23">
        <f>+$F$15</f>
        <v>0</v>
      </c>
      <c r="G104" s="27">
        <f>ROUND($G$12/32*10,4)</f>
        <v>0</v>
      </c>
      <c r="H104" s="27">
        <f>ROUND($H$12/32*10,4)</f>
        <v>0.0032</v>
      </c>
      <c r="I104" s="27">
        <f t="shared" si="39"/>
        <v>0.1897</v>
      </c>
      <c r="J104" s="27">
        <f t="shared" si="37"/>
        <v>0.0069</v>
      </c>
      <c r="K104" s="27">
        <f t="shared" si="40"/>
        <v>0.1966</v>
      </c>
      <c r="L104" s="27">
        <f>ROUND(L101/32*10,4)</f>
        <v>-0.034</v>
      </c>
      <c r="M104" s="27">
        <f>ROUND(M101/32*10,4)</f>
        <v>0.0755</v>
      </c>
      <c r="N104" s="111">
        <f t="shared" si="38"/>
        <v>0.2381</v>
      </c>
      <c r="P104" s="134">
        <f>IF(ROUND((N104-($W$10/32*10)+(INPUT!E$88))/(1-INPUT!$B$56),2)&gt;N104,ROUND((N104-($W$10/32*10)+(INPUT!E$88))/(1-INPUT!$B$56),2),ROUND(N104+0.01,2))</f>
        <v>0.25</v>
      </c>
      <c r="Q104" s="111">
        <v>0.368</v>
      </c>
      <c r="S104" s="134">
        <v>0.39</v>
      </c>
      <c r="T104" s="110">
        <f t="shared" si="41"/>
        <v>-0.1299</v>
      </c>
      <c r="U104" s="34">
        <f t="shared" si="42"/>
        <v>-0.14</v>
      </c>
    </row>
    <row r="105" spans="1:21" ht="14.25" thickBot="1" thickTop="1">
      <c r="A105" s="263"/>
      <c r="B105" s="269"/>
      <c r="C105" s="18" t="s">
        <v>65</v>
      </c>
      <c r="D105" s="99">
        <f>'CNTNR COST'!G104</f>
        <v>0.0744</v>
      </c>
      <c r="E105" s="27">
        <f>ROUND(E101/4,4)</f>
        <v>0.0501</v>
      </c>
      <c r="F105" s="23">
        <f>+$F$16</f>
        <v>0.0246</v>
      </c>
      <c r="G105" s="27">
        <f>ROUND($G$12/4,4)</f>
        <v>0</v>
      </c>
      <c r="H105" s="27">
        <f>ROUND($H$12/4,4)</f>
        <v>0.0026</v>
      </c>
      <c r="I105" s="27">
        <f t="shared" si="39"/>
        <v>0.1517</v>
      </c>
      <c r="J105" s="27">
        <f t="shared" si="37"/>
        <v>0.0055</v>
      </c>
      <c r="K105" s="27">
        <f t="shared" si="40"/>
        <v>0.1572</v>
      </c>
      <c r="L105" s="27">
        <f>ROUND(L$12/4,4)</f>
        <v>-0.0272</v>
      </c>
      <c r="M105" s="27">
        <f>ROUND(M$12/4,4)</f>
        <v>0.0604</v>
      </c>
      <c r="N105" s="111">
        <f t="shared" si="38"/>
        <v>0.1904</v>
      </c>
      <c r="P105" s="134">
        <f>IF(ROUND((N105-($W$10/4)+(INPUT!E$89))/(1-INPUT!$B$56),2)&gt;N105,ROUND((N105-($W$10/4)+(INPUT!E$89))/(1-INPUT!$B$56),2),ROUND(N105+0.01,2))</f>
        <v>0.2</v>
      </c>
      <c r="Q105" s="111">
        <v>0.2971</v>
      </c>
      <c r="S105" s="134">
        <v>0.31</v>
      </c>
      <c r="T105" s="110">
        <f t="shared" si="41"/>
        <v>-0.10669999999999996</v>
      </c>
      <c r="U105" s="34">
        <f t="shared" si="42"/>
        <v>-0.10999999999999999</v>
      </c>
    </row>
    <row r="106" spans="1:21" ht="14.25" thickBot="1" thickTop="1">
      <c r="A106" s="263"/>
      <c r="B106" s="269"/>
      <c r="C106" s="18" t="s">
        <v>66</v>
      </c>
      <c r="D106" s="99">
        <f>'CNTNR COST'!G105</f>
        <v>0.0703</v>
      </c>
      <c r="E106" s="27">
        <f>ROUND(E101/8,4)</f>
        <v>0.0251</v>
      </c>
      <c r="F106" s="23">
        <f>+$F$17</f>
        <v>0.0379</v>
      </c>
      <c r="G106" s="27">
        <f>ROUND($G$12/8,4)</f>
        <v>0</v>
      </c>
      <c r="H106" s="27">
        <f>ROUND($H$12/8,4)</f>
        <v>0.0013</v>
      </c>
      <c r="I106" s="27">
        <f t="shared" si="39"/>
        <v>0.1346</v>
      </c>
      <c r="J106" s="27">
        <f t="shared" si="37"/>
        <v>0.0049</v>
      </c>
      <c r="K106" s="27">
        <f t="shared" si="40"/>
        <v>0.1395</v>
      </c>
      <c r="L106" s="27">
        <f>ROUND(L$12/8,4)</f>
        <v>-0.0136</v>
      </c>
      <c r="M106" s="27">
        <f>ROUND(M$12/8,4)</f>
        <v>0.0302</v>
      </c>
      <c r="N106" s="111">
        <f t="shared" si="38"/>
        <v>0.1561</v>
      </c>
      <c r="P106" s="134">
        <f>IF(ROUND((N106-($W$10/8)+(INPUT!E$90))/(1-INPUT!$B$56),2)&gt;N106,ROUND((N106-($W$10/8)+(INPUT!E$90))/(1-INPUT!$B$56),2),ROUND(N106+0.01,2))</f>
        <v>0.17</v>
      </c>
      <c r="Q106" s="111">
        <v>0.1697</v>
      </c>
      <c r="S106" s="134">
        <v>0.18</v>
      </c>
      <c r="T106" s="110">
        <f t="shared" si="41"/>
        <v>-0.013600000000000001</v>
      </c>
      <c r="U106" s="34">
        <f t="shared" si="42"/>
        <v>-0.009999999999999981</v>
      </c>
    </row>
    <row r="107" spans="1:21" ht="14.25" thickBot="1" thickTop="1">
      <c r="A107" s="263"/>
      <c r="B107" s="269"/>
      <c r="C107" s="18" t="s">
        <v>92</v>
      </c>
      <c r="D107" s="99">
        <f>'CNTNR COST'!G106</f>
        <v>0.3713</v>
      </c>
      <c r="E107" s="27">
        <f>DISP_H_AND_H</f>
        <v>0.2004</v>
      </c>
      <c r="F107" s="23">
        <f>+$F$18</f>
        <v>0.121</v>
      </c>
      <c r="G107" s="27">
        <f>ROUND($G$12,4)</f>
        <v>0</v>
      </c>
      <c r="H107" s="27">
        <f>ROUND($H$12,4)</f>
        <v>0.0102</v>
      </c>
      <c r="I107" s="27">
        <f t="shared" si="39"/>
        <v>0.7029</v>
      </c>
      <c r="J107" s="27">
        <f t="shared" si="37"/>
        <v>0.0255</v>
      </c>
      <c r="K107" s="27">
        <f t="shared" si="40"/>
        <v>0.7284</v>
      </c>
      <c r="L107" s="27">
        <f>L$12</f>
        <v>-0.1088</v>
      </c>
      <c r="M107" s="27">
        <f>M$12</f>
        <v>0.2416</v>
      </c>
      <c r="N107" s="111">
        <f t="shared" si="38"/>
        <v>0.8612</v>
      </c>
      <c r="P107" s="35">
        <f>ROUND((N107-($W$10)+(INPUT!E$91))/(1-INPUT!$B$56),2)</f>
        <v>0.78</v>
      </c>
      <c r="Q107" s="111">
        <v>1.1189</v>
      </c>
      <c r="S107" s="35">
        <v>1.18</v>
      </c>
      <c r="T107" s="110">
        <f t="shared" si="41"/>
        <v>-0.25770000000000004</v>
      </c>
      <c r="U107" s="34">
        <f t="shared" si="42"/>
        <v>-0.3999999999999999</v>
      </c>
    </row>
    <row r="108" spans="1:21" ht="14.25" thickBot="1" thickTop="1">
      <c r="A108" s="263"/>
      <c r="B108" s="269"/>
      <c r="C108" s="18" t="s">
        <v>69</v>
      </c>
      <c r="D108" s="99">
        <f>'CNTNR COST'!G107</f>
        <v>0.0035</v>
      </c>
      <c r="E108" s="27">
        <f>ROUND(CREAMER_ADDON/8*3,4)</f>
        <v>0.0103</v>
      </c>
      <c r="F108" s="23"/>
      <c r="G108" s="27">
        <f>ROUND(G101/32*3/8,4)</f>
        <v>0</v>
      </c>
      <c r="H108" s="27">
        <f>ROUND(H101/32*3/8,4)</f>
        <v>0.0001</v>
      </c>
      <c r="I108" s="27">
        <f t="shared" si="39"/>
        <v>0.0139</v>
      </c>
      <c r="J108" s="27">
        <f t="shared" si="37"/>
        <v>0.0005</v>
      </c>
      <c r="K108" s="27">
        <f t="shared" si="40"/>
        <v>0.0144</v>
      </c>
      <c r="L108" s="27">
        <f>ROUND(+L106/32*3,4)</f>
        <v>-0.0013</v>
      </c>
      <c r="M108" s="27">
        <f>ROUND(+M106/32*3,4)</f>
        <v>0.0028</v>
      </c>
      <c r="N108" s="111">
        <f t="shared" si="38"/>
        <v>0.0159</v>
      </c>
      <c r="P108" s="35">
        <f>ROUND((N108-($W$10/85.333)+(INPUT!$B$58/85.333))/(1-INPUT!$B$56),2)</f>
        <v>0.02</v>
      </c>
      <c r="Q108" s="111">
        <v>0.0192</v>
      </c>
      <c r="S108" s="35">
        <v>0.02</v>
      </c>
      <c r="T108" s="110">
        <f t="shared" si="41"/>
        <v>-0.0032999999999999974</v>
      </c>
      <c r="U108" s="34">
        <f t="shared" si="42"/>
        <v>0</v>
      </c>
    </row>
    <row r="109" spans="1:21" ht="14.25" thickBot="1" thickTop="1">
      <c r="A109" s="271"/>
      <c r="B109" s="272"/>
      <c r="C109" s="18" t="s">
        <v>70</v>
      </c>
      <c r="D109" s="99">
        <f>'CNTNR COST'!G108</f>
        <v>0.0047</v>
      </c>
      <c r="E109" s="27">
        <f>ROUND(CREAMER_ADDON/2,4)</f>
        <v>0.0137</v>
      </c>
      <c r="F109" s="23"/>
      <c r="G109" s="27">
        <f>ROUND(G101/64,4)</f>
        <v>0</v>
      </c>
      <c r="H109" s="27">
        <f>ROUND(H101/64,4)</f>
        <v>0.0002</v>
      </c>
      <c r="I109" s="27">
        <f t="shared" si="39"/>
        <v>0.0186</v>
      </c>
      <c r="J109" s="27">
        <f t="shared" si="37"/>
        <v>0.0007</v>
      </c>
      <c r="K109" s="27">
        <f t="shared" si="40"/>
        <v>0.0193</v>
      </c>
      <c r="L109" s="27">
        <f>ROUND(+L12/32*0.5,4)</f>
        <v>-0.0017</v>
      </c>
      <c r="M109" s="27">
        <f>ROUND(+M106/8,4)</f>
        <v>0.0038</v>
      </c>
      <c r="N109" s="111">
        <f t="shared" si="38"/>
        <v>0.0214</v>
      </c>
      <c r="P109" s="35">
        <f>ROUND((N109-($W$10/64)+(INPUT!$B$58/64))/(1-INPUT!$B$56),2)</f>
        <v>0.02</v>
      </c>
      <c r="Q109" s="111">
        <v>0.0255</v>
      </c>
      <c r="S109" s="35">
        <v>0.03</v>
      </c>
      <c r="T109" s="110">
        <f t="shared" si="41"/>
        <v>-0.0040999999999999995</v>
      </c>
      <c r="U109" s="34">
        <f t="shared" si="42"/>
        <v>-0.009999999999999998</v>
      </c>
    </row>
    <row r="110" spans="1:21" ht="14.25" thickBot="1" thickTop="1">
      <c r="A110" s="273"/>
      <c r="B110" s="274"/>
      <c r="C110" s="18" t="s">
        <v>71</v>
      </c>
      <c r="D110" s="100">
        <f>'CNTNR COST'!G109</f>
        <v>0.007</v>
      </c>
      <c r="E110" s="27">
        <f>ROUND(CREAMER_ADDON/4*3,4)</f>
        <v>0.0206</v>
      </c>
      <c r="F110" s="36"/>
      <c r="G110" s="39">
        <f>ROUND(G102/64*3,4)</f>
        <v>0</v>
      </c>
      <c r="H110" s="39">
        <f>ROUND(H102/64*3,4)</f>
        <v>0.0002</v>
      </c>
      <c r="I110" s="39">
        <f t="shared" si="39"/>
        <v>0.0278</v>
      </c>
      <c r="J110" s="39">
        <f t="shared" si="37"/>
        <v>0.001</v>
      </c>
      <c r="K110" s="39">
        <f>ROUND(I110+J110,4)</f>
        <v>0.0288</v>
      </c>
      <c r="L110" s="39">
        <f>ROUND(+L101/32*3/4,4)</f>
        <v>-0.0026</v>
      </c>
      <c r="M110" s="39">
        <f>ROUND(+M109/2*3,4)</f>
        <v>0.0057</v>
      </c>
      <c r="N110" s="112">
        <f t="shared" si="38"/>
        <v>0.0319</v>
      </c>
      <c r="P110" s="37">
        <f>ROUND((N110-($W$10/42.667)+(INPUT!$B$58/42.667))/(1-INPUT!$B$56),2)</f>
        <v>0.03</v>
      </c>
      <c r="Q110" s="112">
        <v>0.0383</v>
      </c>
      <c r="S110" s="37">
        <v>0.04</v>
      </c>
      <c r="T110" s="110">
        <f t="shared" si="41"/>
        <v>-0.006400000000000003</v>
      </c>
      <c r="U110" s="34">
        <f t="shared" si="42"/>
        <v>-0.010000000000000002</v>
      </c>
    </row>
    <row r="111" spans="3:21" ht="14.25" thickBot="1" thickTop="1">
      <c r="C111" s="176"/>
      <c r="D111" s="40"/>
      <c r="Q111" s="109"/>
      <c r="T111" s="110" t="s">
        <v>12</v>
      </c>
      <c r="U111" s="34" t="s">
        <v>12</v>
      </c>
    </row>
    <row r="112" spans="1:21" ht="14.25" customHeight="1" thickBot="1" thickTop="1">
      <c r="A112" s="262" t="s">
        <v>144</v>
      </c>
      <c r="B112" s="276" t="s">
        <v>143</v>
      </c>
      <c r="C112" s="18" t="s">
        <v>63</v>
      </c>
      <c r="D112" s="98">
        <f>'CNTNR COST'!G112</f>
        <v>0.595</v>
      </c>
      <c r="E112" s="38">
        <f>E113*2</f>
        <v>0.4038</v>
      </c>
      <c r="F112" s="22">
        <f>+$F$11</f>
        <v>-0.0561</v>
      </c>
      <c r="G112" s="27">
        <f>ROUND($G$12*2,4)</f>
        <v>0</v>
      </c>
      <c r="H112" s="38">
        <f>ROUND($H$12*2,4)</f>
        <v>0.0204</v>
      </c>
      <c r="I112" s="38">
        <f>ROUND(SUM(D112:H112),4)</f>
        <v>0.9631</v>
      </c>
      <c r="J112" s="38">
        <f aca="true" t="shared" si="43" ref="J112:J119">ROUND((I112/(1-$J$5))-I112,4)</f>
        <v>0.0349</v>
      </c>
      <c r="K112" s="38">
        <f>ROUND(I112+J112,4)</f>
        <v>0.998</v>
      </c>
      <c r="L112" s="38">
        <f>ROUND(L$12*2,4)</f>
        <v>-0.2176</v>
      </c>
      <c r="M112" s="38">
        <f>ROUND(M$12*2,4)</f>
        <v>0.4832</v>
      </c>
      <c r="N112" s="110">
        <f aca="true" t="shared" si="44" ref="N112:N119">ROUND(SUM(K112:M112),4)</f>
        <v>1.2636</v>
      </c>
      <c r="P112" s="34">
        <f>ROUND((N112-($W$10*2)+(INPUT!E$84))/(1-INPUT!$B$56),2)</f>
        <v>1.09</v>
      </c>
      <c r="Q112" s="110">
        <v>3.3736</v>
      </c>
      <c r="S112" s="34">
        <v>3.52</v>
      </c>
      <c r="T112" s="110">
        <f t="shared" si="41"/>
        <v>-2.1100000000000003</v>
      </c>
      <c r="U112" s="34">
        <f t="shared" si="42"/>
        <v>-2.4299999999999997</v>
      </c>
    </row>
    <row r="113" spans="1:21" ht="14.25" thickBot="1" thickTop="1">
      <c r="A113" s="263"/>
      <c r="B113" s="277"/>
      <c r="C113" s="18" t="s">
        <v>16</v>
      </c>
      <c r="D113" s="99">
        <f>'CNTNR COST'!G113</f>
        <v>0.2975</v>
      </c>
      <c r="E113" s="27">
        <f>CREAM_ADDON</f>
        <v>0.2019</v>
      </c>
      <c r="F113" s="23">
        <f>+$F$12</f>
        <v>0.0448</v>
      </c>
      <c r="G113" s="27">
        <f>ENERGY_ADDON</f>
        <v>0</v>
      </c>
      <c r="H113" s="27">
        <f>COST_UPDATE_ADJ</f>
        <v>0.0102</v>
      </c>
      <c r="I113" s="27">
        <f aca="true" t="shared" si="45" ref="I113:I119">ROUND(SUM(D113:H113),4)</f>
        <v>0.5544</v>
      </c>
      <c r="J113" s="27">
        <f t="shared" si="43"/>
        <v>0.0201</v>
      </c>
      <c r="K113" s="27">
        <f aca="true" t="shared" si="46" ref="K113:K119">ROUND(I113+J113,4)</f>
        <v>0.5745</v>
      </c>
      <c r="L113" s="27">
        <f>$L$12</f>
        <v>-0.1088</v>
      </c>
      <c r="M113" s="27">
        <f>$M$12</f>
        <v>0.2416</v>
      </c>
      <c r="N113" s="111">
        <f t="shared" si="44"/>
        <v>0.7073</v>
      </c>
      <c r="P113" s="35">
        <f>ROUND((N113-($W$10)+(INPUT!E$85))/(1-INPUT!$B$56),2)</f>
        <v>0.62</v>
      </c>
      <c r="Q113" s="111">
        <v>1.7235</v>
      </c>
      <c r="S113" s="35">
        <v>1.8</v>
      </c>
      <c r="T113" s="110">
        <f t="shared" si="41"/>
        <v>-1.0162</v>
      </c>
      <c r="U113" s="34">
        <f t="shared" si="42"/>
        <v>-1.1800000000000002</v>
      </c>
    </row>
    <row r="114" spans="1:21" ht="14.25" thickBot="1" thickTop="1">
      <c r="A114" s="263"/>
      <c r="B114" s="277"/>
      <c r="C114" s="18" t="s">
        <v>17</v>
      </c>
      <c r="D114" s="99">
        <f>'CNTNR COST'!G114</f>
        <v>0.1488</v>
      </c>
      <c r="E114" s="27">
        <f>ROUND(E113/2,4)</f>
        <v>0.101</v>
      </c>
      <c r="F114" s="23">
        <f>+$F$13</f>
        <v>0.1138</v>
      </c>
      <c r="G114" s="27">
        <f>ROUND($G$12/2,4)</f>
        <v>0</v>
      </c>
      <c r="H114" s="27">
        <f>ROUND($H$12/2,4)</f>
        <v>0.0051</v>
      </c>
      <c r="I114" s="27">
        <f t="shared" si="45"/>
        <v>0.3687</v>
      </c>
      <c r="J114" s="27">
        <f t="shared" si="43"/>
        <v>0.0134</v>
      </c>
      <c r="K114" s="27">
        <f t="shared" si="46"/>
        <v>0.3821</v>
      </c>
      <c r="L114" s="27">
        <f>ROUND(L$12/2,4)</f>
        <v>-0.0544</v>
      </c>
      <c r="M114" s="27">
        <f>ROUND(M$12/2,4)</f>
        <v>0.1208</v>
      </c>
      <c r="N114" s="111">
        <f t="shared" si="44"/>
        <v>0.4485</v>
      </c>
      <c r="P114" s="35">
        <f>ROUND((N114-($W$10/2)+(INPUT!E$86))/(1-INPUT!$B$56),2)</f>
        <v>0.41</v>
      </c>
      <c r="Q114" s="111">
        <v>0.8971</v>
      </c>
      <c r="S114" s="35">
        <v>0.93</v>
      </c>
      <c r="T114" s="110">
        <f t="shared" si="41"/>
        <v>-0.4486</v>
      </c>
      <c r="U114" s="34">
        <f t="shared" si="42"/>
        <v>-0.52</v>
      </c>
    </row>
    <row r="115" spans="1:21" ht="14.25" thickBot="1" thickTop="1">
      <c r="A115" s="263"/>
      <c r="B115" s="277"/>
      <c r="C115" s="18" t="s">
        <v>161</v>
      </c>
      <c r="D115" s="99">
        <f>'CNTNR COST'!G115</f>
        <v>0.1746</v>
      </c>
      <c r="E115" s="27">
        <f>ROUND(E113/32*12,4)</f>
        <v>0.0757</v>
      </c>
      <c r="F115" s="27">
        <f>+$F$14</f>
        <v>0</v>
      </c>
      <c r="G115" s="27">
        <f>ROUND($G$12/32*12,4)</f>
        <v>0</v>
      </c>
      <c r="H115" s="27">
        <f>ROUND($H$12/32*12,4)</f>
        <v>0.0038</v>
      </c>
      <c r="I115" s="27">
        <f t="shared" si="45"/>
        <v>0.2541</v>
      </c>
      <c r="J115" s="27">
        <f t="shared" si="43"/>
        <v>0.0092</v>
      </c>
      <c r="K115" s="27">
        <f t="shared" si="46"/>
        <v>0.2633</v>
      </c>
      <c r="L115" s="27">
        <f>ROUND(L113/32*12,4)</f>
        <v>-0.0408</v>
      </c>
      <c r="M115" s="27">
        <f>ROUND(M113/32*12,4)</f>
        <v>0.0906</v>
      </c>
      <c r="N115" s="111">
        <f t="shared" si="44"/>
        <v>0.3131</v>
      </c>
      <c r="P115" s="134">
        <f>IF(ROUND((N115-(($W$10/32)*12)+(INPUT!E$87))/(1-INPUT!$B$56),2)&gt;N115,ROUND((N115-($W$10/32*12)+(INPUT!$E$87))/(1-INPUT!$B$56),2),ROUND(N115+0.01,2))</f>
        <v>0.32</v>
      </c>
      <c r="Q115" s="111"/>
      <c r="S115" s="35"/>
      <c r="T115" s="110"/>
      <c r="U115" s="34"/>
    </row>
    <row r="116" spans="1:21" ht="14.25" thickBot="1" thickTop="1">
      <c r="A116" s="263"/>
      <c r="B116" s="277"/>
      <c r="C116" s="18" t="s">
        <v>64</v>
      </c>
      <c r="D116" s="99">
        <f>'CNTNR COST'!G116</f>
        <v>0.1239</v>
      </c>
      <c r="E116" s="27">
        <f>ROUND(E113/32*10,4)</f>
        <v>0.0631</v>
      </c>
      <c r="F116" s="23">
        <f>+$F$15</f>
        <v>0</v>
      </c>
      <c r="G116" s="27">
        <f>ROUND($G$12/32*10,4)</f>
        <v>0</v>
      </c>
      <c r="H116" s="27">
        <f>ROUND($H$12/32*10,4)</f>
        <v>0.0032</v>
      </c>
      <c r="I116" s="27">
        <f t="shared" si="45"/>
        <v>0.1902</v>
      </c>
      <c r="J116" s="27">
        <f t="shared" si="43"/>
        <v>0.0069</v>
      </c>
      <c r="K116" s="27">
        <f t="shared" si="46"/>
        <v>0.1971</v>
      </c>
      <c r="L116" s="27">
        <f>ROUND(L113/32*10,4)</f>
        <v>-0.034</v>
      </c>
      <c r="M116" s="27">
        <f>ROUND(M113/32*10,4)</f>
        <v>0.0755</v>
      </c>
      <c r="N116" s="111">
        <f t="shared" si="44"/>
        <v>0.2386</v>
      </c>
      <c r="P116" s="134">
        <f>IF(ROUND((N116-($W$10/32*10)+(INPUT!E$88))/(1-INPUT!$B$56),2)&gt;N116,ROUND((N116-($W$10/32*10)+(INPUT!E$88))/(1-INPUT!$B$56),2),ROUND(N116+0.01,2))</f>
        <v>0.25</v>
      </c>
      <c r="Q116" s="111">
        <v>0.5527</v>
      </c>
      <c r="S116" s="134">
        <v>0.58</v>
      </c>
      <c r="T116" s="110">
        <f t="shared" si="41"/>
        <v>-0.31409999999999993</v>
      </c>
      <c r="U116" s="34">
        <f t="shared" si="42"/>
        <v>-0.32999999999999996</v>
      </c>
    </row>
    <row r="117" spans="1:21" ht="14.25" thickBot="1" thickTop="1">
      <c r="A117" s="263"/>
      <c r="B117" s="277"/>
      <c r="C117" s="18" t="s">
        <v>65</v>
      </c>
      <c r="D117" s="99">
        <f>'CNTNR COST'!G117</f>
        <v>0.0744</v>
      </c>
      <c r="E117" s="27">
        <f>ROUND(E113/4,4)</f>
        <v>0.0505</v>
      </c>
      <c r="F117" s="23">
        <f>+$F$16</f>
        <v>0.0246</v>
      </c>
      <c r="G117" s="27">
        <f>ROUND($G$12/4,4)</f>
        <v>0</v>
      </c>
      <c r="H117" s="27">
        <f>ROUND($H$12/4,4)</f>
        <v>0.0026</v>
      </c>
      <c r="I117" s="27">
        <f t="shared" si="45"/>
        <v>0.1521</v>
      </c>
      <c r="J117" s="27">
        <f t="shared" si="43"/>
        <v>0.0055</v>
      </c>
      <c r="K117" s="27">
        <f t="shared" si="46"/>
        <v>0.1576</v>
      </c>
      <c r="L117" s="27">
        <f>ROUND(L$12/4,4)</f>
        <v>-0.0272</v>
      </c>
      <c r="M117" s="27">
        <f>ROUND(M$12/4,4)</f>
        <v>0.0604</v>
      </c>
      <c r="N117" s="111">
        <f t="shared" si="44"/>
        <v>0.1908</v>
      </c>
      <c r="P117" s="134">
        <f>IF(ROUND((N117-($W$10/4)+(INPUT!E$89))/(1-INPUT!$B$56),2)&gt;N117,ROUND((N117-($W$10/4)+(INPUT!E$89))/(1-INPUT!$B$56),2),ROUND(N117+0.01,2))</f>
        <v>0.2</v>
      </c>
      <c r="Q117" s="111">
        <v>0.4448</v>
      </c>
      <c r="S117" s="134">
        <v>0.46</v>
      </c>
      <c r="T117" s="110">
        <f t="shared" si="41"/>
        <v>-0.254</v>
      </c>
      <c r="U117" s="34">
        <f t="shared" si="42"/>
        <v>-0.26</v>
      </c>
    </row>
    <row r="118" spans="1:21" ht="14.25" thickBot="1" thickTop="1">
      <c r="A118" s="263"/>
      <c r="B118" s="277"/>
      <c r="C118" s="18" t="s">
        <v>66</v>
      </c>
      <c r="D118" s="99">
        <f>'CNTNR COST'!G118</f>
        <v>0.0703</v>
      </c>
      <c r="E118" s="27">
        <f>ROUND(E113/8,4)</f>
        <v>0.0252</v>
      </c>
      <c r="F118" s="23">
        <f>+$F$17</f>
        <v>0.0379</v>
      </c>
      <c r="G118" s="27">
        <f>ROUND($G$12/8,4)</f>
        <v>0</v>
      </c>
      <c r="H118" s="27">
        <f>ROUND($H$12/8,4)</f>
        <v>0.0013</v>
      </c>
      <c r="I118" s="27">
        <f t="shared" si="45"/>
        <v>0.1347</v>
      </c>
      <c r="J118" s="27">
        <f t="shared" si="43"/>
        <v>0.0049</v>
      </c>
      <c r="K118" s="27">
        <f t="shared" si="46"/>
        <v>0.1396</v>
      </c>
      <c r="L118" s="27">
        <f>ROUND(L$12/8,4)</f>
        <v>-0.0136</v>
      </c>
      <c r="M118" s="27">
        <f>ROUND(M$12/8,4)</f>
        <v>0.0302</v>
      </c>
      <c r="N118" s="111">
        <f t="shared" si="44"/>
        <v>0.1562</v>
      </c>
      <c r="P118" s="134">
        <f>IF(ROUND((N118-($W$10/8)+(INPUT!E$90))/(1-INPUT!$B$56),2)&gt;N118,ROUND((N118-($W$10/8)+(INPUT!E$90))/(1-INPUT!$B$56),2),ROUND(N118+0.01,2))</f>
        <v>0.17</v>
      </c>
      <c r="Q118" s="111">
        <v>0.2435</v>
      </c>
      <c r="S118" s="134">
        <v>0.25</v>
      </c>
      <c r="T118" s="110">
        <f t="shared" si="41"/>
        <v>-0.08729999999999999</v>
      </c>
      <c r="U118" s="34">
        <f t="shared" si="42"/>
        <v>-0.07999999999999999</v>
      </c>
    </row>
    <row r="119" spans="1:21" ht="14.25" thickBot="1" thickTop="1">
      <c r="A119" s="264"/>
      <c r="B119" s="278"/>
      <c r="C119" s="18" t="s">
        <v>92</v>
      </c>
      <c r="D119" s="100">
        <f>'CNTNR COST'!G119</f>
        <v>0.3713</v>
      </c>
      <c r="E119" s="39">
        <f>E113</f>
        <v>0.2019</v>
      </c>
      <c r="F119" s="36">
        <f>+$F$18</f>
        <v>0.121</v>
      </c>
      <c r="G119" s="39">
        <f>ROUND($G$12,4)</f>
        <v>0</v>
      </c>
      <c r="H119" s="39">
        <f>ROUND($H$12,4)</f>
        <v>0.0102</v>
      </c>
      <c r="I119" s="39">
        <f t="shared" si="45"/>
        <v>0.7044</v>
      </c>
      <c r="J119" s="39">
        <f t="shared" si="43"/>
        <v>0.0255</v>
      </c>
      <c r="K119" s="39">
        <f t="shared" si="46"/>
        <v>0.7299</v>
      </c>
      <c r="L119" s="39">
        <f>L$12</f>
        <v>-0.1088</v>
      </c>
      <c r="M119" s="39">
        <f>M$12</f>
        <v>0.2416</v>
      </c>
      <c r="N119" s="112">
        <f t="shared" si="44"/>
        <v>0.8627</v>
      </c>
      <c r="P119" s="37">
        <f>ROUND((N119-($W$10)+(INPUT!E$91))/(1-INPUT!$B$56),2)</f>
        <v>0.78</v>
      </c>
      <c r="Q119" s="112">
        <v>1.7097</v>
      </c>
      <c r="S119" s="37">
        <v>1.78</v>
      </c>
      <c r="T119" s="110">
        <f t="shared" si="41"/>
        <v>-0.847</v>
      </c>
      <c r="U119" s="34">
        <f t="shared" si="42"/>
        <v>-1</v>
      </c>
    </row>
    <row r="120" spans="3:21" ht="14.25" thickBot="1" thickTop="1">
      <c r="C120" s="176"/>
      <c r="D120" s="40"/>
      <c r="Q120" s="109"/>
      <c r="T120" s="110" t="s">
        <v>12</v>
      </c>
      <c r="U120" s="34" t="s">
        <v>12</v>
      </c>
    </row>
    <row r="121" spans="1:21" ht="14.25" thickBot="1" thickTop="1">
      <c r="A121" s="262" t="s">
        <v>145</v>
      </c>
      <c r="B121" s="276" t="s">
        <v>143</v>
      </c>
      <c r="C121" s="18" t="s">
        <v>63</v>
      </c>
      <c r="D121" s="98">
        <f>'CNTNR COST'!G121</f>
        <v>0.595</v>
      </c>
      <c r="E121" s="38">
        <f>E122*2</f>
        <v>0.4038</v>
      </c>
      <c r="F121" s="22">
        <f>+$F$11</f>
        <v>-0.0561</v>
      </c>
      <c r="G121" s="27">
        <f>ROUND($G$12*2,4)</f>
        <v>0</v>
      </c>
      <c r="H121" s="38">
        <f>ROUND($H$12*2,4)</f>
        <v>0.0204</v>
      </c>
      <c r="I121" s="38">
        <f aca="true" t="shared" si="47" ref="I121:I128">ROUND(SUM(D121:H121),4)</f>
        <v>0.9631</v>
      </c>
      <c r="J121" s="38">
        <f aca="true" t="shared" si="48" ref="J121:J128">ROUND((I121/(1-$J$5))-I121,4)</f>
        <v>0.0349</v>
      </c>
      <c r="K121" s="38">
        <f aca="true" t="shared" si="49" ref="K121:K128">ROUND(I121+J121,4)</f>
        <v>0.998</v>
      </c>
      <c r="L121" s="38">
        <f>ROUND(L$12*2,4)</f>
        <v>-0.2176</v>
      </c>
      <c r="M121" s="38">
        <f>ROUND(M$12*2,4)</f>
        <v>0.4832</v>
      </c>
      <c r="N121" s="110">
        <f aca="true" t="shared" si="50" ref="N121:N128">ROUND(SUM(K121:M121),4)</f>
        <v>1.2636</v>
      </c>
      <c r="P121" s="34">
        <f>ROUND((N121-($W$10*2)+(INPUT!E$84))/(1-INPUT!$B$56),2)</f>
        <v>1.09</v>
      </c>
      <c r="Q121" s="110">
        <v>4.1005</v>
      </c>
      <c r="S121" s="34">
        <v>4.26</v>
      </c>
      <c r="T121" s="110">
        <f t="shared" si="41"/>
        <v>-2.8369</v>
      </c>
      <c r="U121" s="34">
        <f t="shared" si="42"/>
        <v>-3.17</v>
      </c>
    </row>
    <row r="122" spans="1:21" ht="14.25" thickBot="1" thickTop="1">
      <c r="A122" s="263"/>
      <c r="B122" s="277"/>
      <c r="C122" s="18" t="s">
        <v>16</v>
      </c>
      <c r="D122" s="99">
        <f>'CNTNR COST'!G122</f>
        <v>0.2975</v>
      </c>
      <c r="E122" s="27">
        <f>CREAM_ADDON</f>
        <v>0.2019</v>
      </c>
      <c r="F122" s="23">
        <f>+$F$12</f>
        <v>0.0448</v>
      </c>
      <c r="G122" s="27">
        <f>ENERGY_ADDON</f>
        <v>0</v>
      </c>
      <c r="H122" s="27">
        <f>COST_UPDATE_ADJ</f>
        <v>0.0102</v>
      </c>
      <c r="I122" s="27">
        <f t="shared" si="47"/>
        <v>0.5544</v>
      </c>
      <c r="J122" s="27">
        <f t="shared" si="48"/>
        <v>0.0201</v>
      </c>
      <c r="K122" s="27">
        <f t="shared" si="49"/>
        <v>0.5745</v>
      </c>
      <c r="L122" s="27">
        <f>$L$12</f>
        <v>-0.1088</v>
      </c>
      <c r="M122" s="27">
        <f>$M$12</f>
        <v>0.2416</v>
      </c>
      <c r="N122" s="111">
        <f t="shared" si="50"/>
        <v>0.7073</v>
      </c>
      <c r="P122" s="35">
        <f>ROUND((N122-($W$10)+(INPUT!E$85))/(1-INPUT!$B$56),2)</f>
        <v>0.62</v>
      </c>
      <c r="Q122" s="111">
        <v>2.0869</v>
      </c>
      <c r="S122" s="35">
        <v>2.17</v>
      </c>
      <c r="T122" s="110">
        <f t="shared" si="41"/>
        <v>-1.3796</v>
      </c>
      <c r="U122" s="34">
        <f t="shared" si="42"/>
        <v>-1.5499999999999998</v>
      </c>
    </row>
    <row r="123" spans="1:21" ht="14.25" thickBot="1" thickTop="1">
      <c r="A123" s="263"/>
      <c r="B123" s="277"/>
      <c r="C123" s="18" t="s">
        <v>17</v>
      </c>
      <c r="D123" s="99">
        <f>'CNTNR COST'!G123</f>
        <v>0.1488</v>
      </c>
      <c r="E123" s="27">
        <f>ROUND(E122/2,4)</f>
        <v>0.101</v>
      </c>
      <c r="F123" s="23">
        <f>+$F$13</f>
        <v>0.1138</v>
      </c>
      <c r="G123" s="27">
        <f>ROUND($G$12/2,4)</f>
        <v>0</v>
      </c>
      <c r="H123" s="27">
        <f>ROUND($H$12/2,4)</f>
        <v>0.0051</v>
      </c>
      <c r="I123" s="27">
        <f t="shared" si="47"/>
        <v>0.3687</v>
      </c>
      <c r="J123" s="27">
        <f t="shared" si="48"/>
        <v>0.0134</v>
      </c>
      <c r="K123" s="27">
        <f t="shared" si="49"/>
        <v>0.3821</v>
      </c>
      <c r="L123" s="27">
        <f>ROUND(L$12/2,4)</f>
        <v>-0.0544</v>
      </c>
      <c r="M123" s="27">
        <f>ROUND(M$12/2,4)</f>
        <v>0.1208</v>
      </c>
      <c r="N123" s="111">
        <f t="shared" si="50"/>
        <v>0.4485</v>
      </c>
      <c r="P123" s="35">
        <f>ROUND((N123-($W$10/2)+(INPUT!E$86))/(1-INPUT!$B$56),2)</f>
        <v>0.41</v>
      </c>
      <c r="Q123" s="111">
        <v>1.0789</v>
      </c>
      <c r="S123" s="35">
        <v>1.12</v>
      </c>
      <c r="T123" s="110">
        <f t="shared" si="41"/>
        <v>-0.6304</v>
      </c>
      <c r="U123" s="34">
        <f t="shared" si="42"/>
        <v>-0.7100000000000002</v>
      </c>
    </row>
    <row r="124" spans="1:21" ht="14.25" thickBot="1" thickTop="1">
      <c r="A124" s="263"/>
      <c r="B124" s="277"/>
      <c r="C124" s="18" t="s">
        <v>161</v>
      </c>
      <c r="D124" s="99">
        <f>'CNTNR COST'!G124</f>
        <v>0.1746</v>
      </c>
      <c r="E124" s="27">
        <f>ROUND(E122/32*12,4)</f>
        <v>0.0757</v>
      </c>
      <c r="F124" s="27">
        <f>+$F$14</f>
        <v>0</v>
      </c>
      <c r="G124" s="27">
        <f>ROUND($G$12/32*12,4)</f>
        <v>0</v>
      </c>
      <c r="H124" s="27">
        <f>ROUND($H$12/32*12,4)</f>
        <v>0.0038</v>
      </c>
      <c r="I124" s="27">
        <f t="shared" si="47"/>
        <v>0.2541</v>
      </c>
      <c r="J124" s="27">
        <f t="shared" si="48"/>
        <v>0.0092</v>
      </c>
      <c r="K124" s="27">
        <f t="shared" si="49"/>
        <v>0.2633</v>
      </c>
      <c r="L124" s="27">
        <f>ROUND(L122/32*12,4)</f>
        <v>-0.0408</v>
      </c>
      <c r="M124" s="27">
        <f>ROUND(M122/32*12,4)</f>
        <v>0.0906</v>
      </c>
      <c r="N124" s="111">
        <f t="shared" si="50"/>
        <v>0.3131</v>
      </c>
      <c r="P124" s="134">
        <f>IF(ROUND((N124-(($W$10/32)*12)+(INPUT!E$87))/(1-INPUT!$B$56),2)&gt;N124,ROUND((N124-($W$10/32*12)+(INPUT!$E$87))/(1-INPUT!$B$56),2),ROUND(N124+0.01,2))</f>
        <v>0.32</v>
      </c>
      <c r="Q124" s="111"/>
      <c r="S124" s="35"/>
      <c r="T124" s="110"/>
      <c r="U124" s="34"/>
    </row>
    <row r="125" spans="1:21" ht="14.25" thickBot="1" thickTop="1">
      <c r="A125" s="263"/>
      <c r="B125" s="277"/>
      <c r="C125" s="18" t="s">
        <v>64</v>
      </c>
      <c r="D125" s="99">
        <f>'CNTNR COST'!G125</f>
        <v>0.1239</v>
      </c>
      <c r="E125" s="27">
        <f>ROUND(E122/32*10,4)</f>
        <v>0.0631</v>
      </c>
      <c r="F125" s="23">
        <f>+$F$15</f>
        <v>0</v>
      </c>
      <c r="G125" s="27">
        <f>ROUND($G$12/32*10,4)</f>
        <v>0</v>
      </c>
      <c r="H125" s="27">
        <f>ROUND($H$12/32*10,4)</f>
        <v>0.0032</v>
      </c>
      <c r="I125" s="27">
        <f t="shared" si="47"/>
        <v>0.1902</v>
      </c>
      <c r="J125" s="27">
        <f t="shared" si="48"/>
        <v>0.0069</v>
      </c>
      <c r="K125" s="27">
        <f t="shared" si="49"/>
        <v>0.1971</v>
      </c>
      <c r="L125" s="27">
        <f>ROUND(L122/32*10,4)</f>
        <v>-0.034</v>
      </c>
      <c r="M125" s="27">
        <f>ROUND(M122/32*10,4)</f>
        <v>0.0755</v>
      </c>
      <c r="N125" s="111">
        <f t="shared" si="50"/>
        <v>0.2386</v>
      </c>
      <c r="P125" s="134">
        <f>IF(ROUND((N125-($W$10/32*10)+(INPUT!E$88))/(1-INPUT!$B$56),2)&gt;N125,ROUND((N125-($W$10/32*10)+(INPUT!E$88))/(1-INPUT!$B$56),2),ROUND(N125+0.01,2))</f>
        <v>0.25</v>
      </c>
      <c r="Q125" s="111">
        <v>0.6663</v>
      </c>
      <c r="S125" s="134">
        <v>0.69</v>
      </c>
      <c r="T125" s="110">
        <f t="shared" si="41"/>
        <v>-0.42769999999999997</v>
      </c>
      <c r="U125" s="34">
        <f t="shared" si="42"/>
        <v>-0.43999999999999995</v>
      </c>
    </row>
    <row r="126" spans="1:21" ht="14.25" thickBot="1" thickTop="1">
      <c r="A126" s="263"/>
      <c r="B126" s="277"/>
      <c r="C126" s="18" t="s">
        <v>65</v>
      </c>
      <c r="D126" s="99">
        <f>'CNTNR COST'!G126</f>
        <v>0.0744</v>
      </c>
      <c r="E126" s="27">
        <f>ROUND(E122/4,4)</f>
        <v>0.0505</v>
      </c>
      <c r="F126" s="23">
        <f>+$F$16</f>
        <v>0.0246</v>
      </c>
      <c r="G126" s="27">
        <f>ROUND($G$12/4,4)</f>
        <v>0</v>
      </c>
      <c r="H126" s="27">
        <f>ROUND($H$12/4,4)</f>
        <v>0.0026</v>
      </c>
      <c r="I126" s="27">
        <f t="shared" si="47"/>
        <v>0.1521</v>
      </c>
      <c r="J126" s="27">
        <f t="shared" si="48"/>
        <v>0.0055</v>
      </c>
      <c r="K126" s="27">
        <f t="shared" si="49"/>
        <v>0.1576</v>
      </c>
      <c r="L126" s="27">
        <f>ROUND(L$12/4,4)</f>
        <v>-0.0272</v>
      </c>
      <c r="M126" s="27">
        <f>ROUND(M$12/4,4)</f>
        <v>0.0604</v>
      </c>
      <c r="N126" s="111">
        <f t="shared" si="50"/>
        <v>0.1908</v>
      </c>
      <c r="P126" s="134">
        <f>IF(ROUND((N126-($W$10/4)+(INPUT!E$89))/(1-INPUT!$B$56),2)&gt;N126,ROUND((N126-($W$10/4)+(INPUT!E$89))/(1-INPUT!$B$56),2),ROUND(N126+0.01,2))</f>
        <v>0.2</v>
      </c>
      <c r="Q126" s="111">
        <v>0.5357</v>
      </c>
      <c r="S126" s="134">
        <v>0.56</v>
      </c>
      <c r="T126" s="110">
        <f t="shared" si="41"/>
        <v>-0.3449</v>
      </c>
      <c r="U126" s="34">
        <f t="shared" si="42"/>
        <v>-0.36000000000000004</v>
      </c>
    </row>
    <row r="127" spans="1:21" ht="14.25" thickBot="1" thickTop="1">
      <c r="A127" s="263"/>
      <c r="B127" s="277"/>
      <c r="C127" s="18" t="s">
        <v>66</v>
      </c>
      <c r="D127" s="99">
        <f>'CNTNR COST'!G127</f>
        <v>0.0703</v>
      </c>
      <c r="E127" s="27">
        <f>ROUND(E122/8,4)</f>
        <v>0.0252</v>
      </c>
      <c r="F127" s="23">
        <f>+$F$17</f>
        <v>0.0379</v>
      </c>
      <c r="G127" s="27">
        <f>ROUND($G$12/8,4)</f>
        <v>0</v>
      </c>
      <c r="H127" s="27">
        <f>ROUND($H$12/8,4)</f>
        <v>0.0013</v>
      </c>
      <c r="I127" s="27">
        <f t="shared" si="47"/>
        <v>0.1347</v>
      </c>
      <c r="J127" s="27">
        <f t="shared" si="48"/>
        <v>0.0049</v>
      </c>
      <c r="K127" s="27">
        <f t="shared" si="49"/>
        <v>0.1396</v>
      </c>
      <c r="L127" s="27">
        <f>ROUND(L$12/8,4)</f>
        <v>-0.0136</v>
      </c>
      <c r="M127" s="27">
        <f>ROUND(M$12/8,4)</f>
        <v>0.0302</v>
      </c>
      <c r="N127" s="111">
        <f t="shared" si="50"/>
        <v>0.1562</v>
      </c>
      <c r="P127" s="134">
        <f>IF(ROUND((N127-($W$10/8)+(INPUT!E$90))/(1-INPUT!$B$56),2)&gt;N127,ROUND((N127-($W$10/8)+(INPUT!E$90))/(1-INPUT!$B$56),2),ROUND(N127+0.01,2))</f>
        <v>0.17</v>
      </c>
      <c r="Q127" s="111">
        <v>0.289</v>
      </c>
      <c r="S127" s="134">
        <v>0.3</v>
      </c>
      <c r="T127" s="110">
        <f t="shared" si="41"/>
        <v>-0.13279999999999997</v>
      </c>
      <c r="U127" s="34">
        <f t="shared" si="42"/>
        <v>-0.12999999999999998</v>
      </c>
    </row>
    <row r="128" spans="1:21" ht="14.25" thickBot="1" thickTop="1">
      <c r="A128" s="264"/>
      <c r="B128" s="278"/>
      <c r="C128" s="18" t="s">
        <v>92</v>
      </c>
      <c r="D128" s="100">
        <f>'CNTNR COST'!G128</f>
        <v>0.3713</v>
      </c>
      <c r="E128" s="39">
        <f>E122</f>
        <v>0.2019</v>
      </c>
      <c r="F128" s="36">
        <f>+$F$18</f>
        <v>0.121</v>
      </c>
      <c r="G128" s="39">
        <f>ROUND($G$12,4)</f>
        <v>0</v>
      </c>
      <c r="H128" s="39">
        <f>ROUND($H$12,4)</f>
        <v>0.0102</v>
      </c>
      <c r="I128" s="39">
        <f t="shared" si="47"/>
        <v>0.7044</v>
      </c>
      <c r="J128" s="39">
        <f t="shared" si="48"/>
        <v>0.0255</v>
      </c>
      <c r="K128" s="39">
        <f t="shared" si="49"/>
        <v>0.7299</v>
      </c>
      <c r="L128" s="39">
        <f>L$12</f>
        <v>-0.1088</v>
      </c>
      <c r="M128" s="39">
        <f>M$12</f>
        <v>0.2416</v>
      </c>
      <c r="N128" s="112">
        <f t="shared" si="50"/>
        <v>0.8627</v>
      </c>
      <c r="P128" s="37">
        <f>ROUND((N128-($W$10)+(INPUT!E$91))/(1-INPUT!$B$56),2)</f>
        <v>0.78</v>
      </c>
      <c r="Q128" s="112">
        <v>2.0731</v>
      </c>
      <c r="S128" s="37">
        <v>2.15</v>
      </c>
      <c r="T128" s="110">
        <f t="shared" si="41"/>
        <v>-1.2104000000000001</v>
      </c>
      <c r="U128" s="34">
        <f t="shared" si="42"/>
        <v>-1.3699999999999999</v>
      </c>
    </row>
    <row r="129" spans="3:21" ht="14.25" thickBot="1" thickTop="1">
      <c r="C129" s="176"/>
      <c r="D129" s="40"/>
      <c r="Q129" s="109"/>
      <c r="T129" s="110" t="s">
        <v>12</v>
      </c>
      <c r="U129" s="34" t="s">
        <v>12</v>
      </c>
    </row>
    <row r="130" spans="1:21" ht="14.25" thickBot="1" thickTop="1">
      <c r="A130" s="262" t="s">
        <v>146</v>
      </c>
      <c r="B130" s="276" t="s">
        <v>143</v>
      </c>
      <c r="C130" s="18" t="s">
        <v>63</v>
      </c>
      <c r="D130" s="98">
        <f>'CNTNR COST'!G130</f>
        <v>0.595</v>
      </c>
      <c r="E130" s="38">
        <f>E131*2</f>
        <v>0.4038</v>
      </c>
      <c r="F130" s="22">
        <f>+$F$11</f>
        <v>-0.0561</v>
      </c>
      <c r="G130" s="27">
        <f>ROUND($G$12*2,4)</f>
        <v>0</v>
      </c>
      <c r="H130" s="38">
        <f>ROUND($H$12*2,4)</f>
        <v>0.0204</v>
      </c>
      <c r="I130" s="38">
        <f aca="true" t="shared" si="51" ref="I130:I137">ROUND(SUM(D130:H130),4)</f>
        <v>0.9631</v>
      </c>
      <c r="J130" s="38">
        <f aca="true" t="shared" si="52" ref="J130:J137">ROUND((I130/(1-$J$5))-I130,4)</f>
        <v>0.0349</v>
      </c>
      <c r="K130" s="38">
        <f aca="true" t="shared" si="53" ref="K130:K137">ROUND(I130+J130,4)</f>
        <v>0.998</v>
      </c>
      <c r="L130" s="38">
        <f>ROUND(L$12*2,4)</f>
        <v>-0.2176</v>
      </c>
      <c r="M130" s="38">
        <f>ROUND(M$12*2,4)</f>
        <v>0.4832</v>
      </c>
      <c r="N130" s="110">
        <f aca="true" t="shared" si="54" ref="N130:N137">ROUND(SUM(K130:M130),4)</f>
        <v>1.2636</v>
      </c>
      <c r="P130" s="34">
        <f>ROUND((N130-($W$10*2)+(INPUT!E$84))/(1-INPUT!$B$56),2)</f>
        <v>1.09</v>
      </c>
      <c r="Q130" s="110">
        <v>4.4585</v>
      </c>
      <c r="S130" s="34">
        <v>4.63</v>
      </c>
      <c r="T130" s="110">
        <f t="shared" si="41"/>
        <v>-3.1948999999999996</v>
      </c>
      <c r="U130" s="34">
        <f t="shared" si="42"/>
        <v>-3.54</v>
      </c>
    </row>
    <row r="131" spans="1:21" ht="14.25" thickBot="1" thickTop="1">
      <c r="A131" s="263"/>
      <c r="B131" s="277"/>
      <c r="C131" s="18" t="s">
        <v>16</v>
      </c>
      <c r="D131" s="99">
        <f>'CNTNR COST'!G131</f>
        <v>0.2975</v>
      </c>
      <c r="E131" s="27">
        <f>CREAM_ADDON</f>
        <v>0.2019</v>
      </c>
      <c r="F131" s="23">
        <f>+$F$12</f>
        <v>0.0448</v>
      </c>
      <c r="G131" s="27">
        <f>ENERGY_ADDON</f>
        <v>0</v>
      </c>
      <c r="H131" s="27">
        <f>COST_UPDATE_ADJ</f>
        <v>0.0102</v>
      </c>
      <c r="I131" s="27">
        <f t="shared" si="51"/>
        <v>0.5544</v>
      </c>
      <c r="J131" s="27">
        <f t="shared" si="52"/>
        <v>0.0201</v>
      </c>
      <c r="K131" s="27">
        <f t="shared" si="53"/>
        <v>0.5745</v>
      </c>
      <c r="L131" s="27">
        <f>$L$12</f>
        <v>-0.1088</v>
      </c>
      <c r="M131" s="27">
        <f>$M$12</f>
        <v>0.2416</v>
      </c>
      <c r="N131" s="111">
        <f t="shared" si="54"/>
        <v>0.7073</v>
      </c>
      <c r="P131" s="35">
        <f>ROUND((N131-($W$10)+(INPUT!E$85))/(1-INPUT!$B$56),2)</f>
        <v>0.62</v>
      </c>
      <c r="Q131" s="111">
        <v>2.2659</v>
      </c>
      <c r="S131" s="35">
        <v>2.35</v>
      </c>
      <c r="T131" s="110">
        <f t="shared" si="41"/>
        <v>-1.5585999999999998</v>
      </c>
      <c r="U131" s="34">
        <f t="shared" si="42"/>
        <v>-1.73</v>
      </c>
    </row>
    <row r="132" spans="1:21" ht="14.25" thickBot="1" thickTop="1">
      <c r="A132" s="263"/>
      <c r="B132" s="277"/>
      <c r="C132" s="18" t="s">
        <v>17</v>
      </c>
      <c r="D132" s="99">
        <f>'CNTNR COST'!G132</f>
        <v>0.1488</v>
      </c>
      <c r="E132" s="27">
        <f>ROUND(E131/2,4)</f>
        <v>0.101</v>
      </c>
      <c r="F132" s="23">
        <f>+$F$13</f>
        <v>0.1138</v>
      </c>
      <c r="G132" s="27">
        <f>ROUND($G$12/2,4)</f>
        <v>0</v>
      </c>
      <c r="H132" s="27">
        <f>ROUND($H$12/2,4)</f>
        <v>0.0051</v>
      </c>
      <c r="I132" s="27">
        <f t="shared" si="51"/>
        <v>0.3687</v>
      </c>
      <c r="J132" s="27">
        <f t="shared" si="52"/>
        <v>0.0134</v>
      </c>
      <c r="K132" s="27">
        <f t="shared" si="53"/>
        <v>0.3821</v>
      </c>
      <c r="L132" s="27">
        <f>ROUND(L$12/2,4)</f>
        <v>-0.0544</v>
      </c>
      <c r="M132" s="27">
        <f>ROUND(M$12/2,4)</f>
        <v>0.1208</v>
      </c>
      <c r="N132" s="111">
        <f t="shared" si="54"/>
        <v>0.4485</v>
      </c>
      <c r="P132" s="35">
        <f>ROUND((N132-($W$10/2)+(INPUT!E$86))/(1-INPUT!$B$56),2)</f>
        <v>0.41</v>
      </c>
      <c r="Q132" s="111">
        <v>1.1683</v>
      </c>
      <c r="S132" s="35">
        <v>1.21</v>
      </c>
      <c r="T132" s="110">
        <f t="shared" si="41"/>
        <v>-0.7197999999999999</v>
      </c>
      <c r="U132" s="34">
        <f t="shared" si="42"/>
        <v>-0.8</v>
      </c>
    </row>
    <row r="133" spans="1:21" ht="14.25" thickBot="1" thickTop="1">
      <c r="A133" s="263"/>
      <c r="B133" s="277"/>
      <c r="C133" s="18" t="s">
        <v>161</v>
      </c>
      <c r="D133" s="99">
        <f>'CNTNR COST'!G133</f>
        <v>0.1746</v>
      </c>
      <c r="E133" s="27">
        <f>ROUND(E131/32*12,4)</f>
        <v>0.0757</v>
      </c>
      <c r="F133" s="27">
        <f>+$F$14</f>
        <v>0</v>
      </c>
      <c r="G133" s="27">
        <f>ROUND($G$12/32*12,4)</f>
        <v>0</v>
      </c>
      <c r="H133" s="27">
        <f>ROUND($H$12/32*12,4)</f>
        <v>0.0038</v>
      </c>
      <c r="I133" s="27">
        <f t="shared" si="51"/>
        <v>0.2541</v>
      </c>
      <c r="J133" s="27">
        <f t="shared" si="52"/>
        <v>0.0092</v>
      </c>
      <c r="K133" s="27">
        <f t="shared" si="53"/>
        <v>0.2633</v>
      </c>
      <c r="L133" s="27">
        <f>ROUND(L131/32*12,4)</f>
        <v>-0.0408</v>
      </c>
      <c r="M133" s="27">
        <f>ROUND(M131/32*12,4)</f>
        <v>0.0906</v>
      </c>
      <c r="N133" s="111">
        <f t="shared" si="54"/>
        <v>0.3131</v>
      </c>
      <c r="P133" s="134">
        <f>IF(ROUND((N133-(($W$10/32)*12)+(INPUT!E$87))/(1-INPUT!$B$56),2)&gt;N133,ROUND((N133-($W$10/32*12)+(INPUT!$E$87))/(1-INPUT!$B$56),2),ROUND(N133+0.01,2))</f>
        <v>0.32</v>
      </c>
      <c r="Q133" s="111"/>
      <c r="S133" s="35"/>
      <c r="T133" s="110"/>
      <c r="U133" s="34"/>
    </row>
    <row r="134" spans="1:21" ht="14.25" thickBot="1" thickTop="1">
      <c r="A134" s="263"/>
      <c r="B134" s="277"/>
      <c r="C134" s="18" t="s">
        <v>64</v>
      </c>
      <c r="D134" s="99">
        <f>'CNTNR COST'!G134</f>
        <v>0.1239</v>
      </c>
      <c r="E134" s="27">
        <f>ROUND(E131/32*10,4)</f>
        <v>0.0631</v>
      </c>
      <c r="F134" s="23">
        <f>+$F$15</f>
        <v>0</v>
      </c>
      <c r="G134" s="27">
        <f>ROUND($G$12/32*10,4)</f>
        <v>0</v>
      </c>
      <c r="H134" s="27">
        <f>ROUND($H$12/32*10,4)</f>
        <v>0.0032</v>
      </c>
      <c r="I134" s="27">
        <f t="shared" si="51"/>
        <v>0.1902</v>
      </c>
      <c r="J134" s="27">
        <f t="shared" si="52"/>
        <v>0.0069</v>
      </c>
      <c r="K134" s="27">
        <f t="shared" si="53"/>
        <v>0.1971</v>
      </c>
      <c r="L134" s="27">
        <f>ROUND(L131/32*10,4)</f>
        <v>-0.034</v>
      </c>
      <c r="M134" s="27">
        <f>ROUND(M131/32*10,4)</f>
        <v>0.0755</v>
      </c>
      <c r="N134" s="111">
        <f t="shared" si="54"/>
        <v>0.2386</v>
      </c>
      <c r="P134" s="134">
        <f>IF(ROUND((N134-($W$10/32*10)+(INPUT!E$88))/(1-INPUT!$B$56),2)&gt;N134,ROUND((N134-($W$10/32*10)+(INPUT!E$88))/(1-INPUT!$B$56),2),ROUND(N134+0.01,2))</f>
        <v>0.25</v>
      </c>
      <c r="Q134" s="111">
        <v>0.7222</v>
      </c>
      <c r="S134" s="134">
        <v>0.75</v>
      </c>
      <c r="T134" s="110">
        <f t="shared" si="41"/>
        <v>-0.4835999999999999</v>
      </c>
      <c r="U134" s="34">
        <f t="shared" si="42"/>
        <v>-0.5</v>
      </c>
    </row>
    <row r="135" spans="1:21" ht="14.25" thickBot="1" thickTop="1">
      <c r="A135" s="263"/>
      <c r="B135" s="277"/>
      <c r="C135" s="18" t="s">
        <v>65</v>
      </c>
      <c r="D135" s="99">
        <f>'CNTNR COST'!G135</f>
        <v>0.0744</v>
      </c>
      <c r="E135" s="27">
        <f>ROUND(E131/4,4)</f>
        <v>0.0505</v>
      </c>
      <c r="F135" s="23">
        <f>+$F$16</f>
        <v>0.0246</v>
      </c>
      <c r="G135" s="27">
        <f>ROUND($G$12/4,4)</f>
        <v>0</v>
      </c>
      <c r="H135" s="27">
        <f>ROUND($H$12/4,4)</f>
        <v>0.0026</v>
      </c>
      <c r="I135" s="27">
        <f t="shared" si="51"/>
        <v>0.1521</v>
      </c>
      <c r="J135" s="27">
        <f t="shared" si="52"/>
        <v>0.0055</v>
      </c>
      <c r="K135" s="27">
        <f t="shared" si="53"/>
        <v>0.1576</v>
      </c>
      <c r="L135" s="27">
        <f>ROUND(L$12/4,4)</f>
        <v>-0.0272</v>
      </c>
      <c r="M135" s="27">
        <f>ROUND(M$12/4,4)</f>
        <v>0.0604</v>
      </c>
      <c r="N135" s="111">
        <f t="shared" si="54"/>
        <v>0.1908</v>
      </c>
      <c r="P135" s="134">
        <f>IF(ROUND((N135-($W$10/4)+(INPUT!E$89))/(1-INPUT!$B$56),2)&gt;N135,ROUND((N135-($W$10/4)+(INPUT!E$89))/(1-INPUT!$B$56),2),ROUND(N135+0.01,2))</f>
        <v>0.2</v>
      </c>
      <c r="Q135" s="111">
        <v>0.5805</v>
      </c>
      <c r="S135" s="134">
        <v>0.6</v>
      </c>
      <c r="T135" s="110">
        <f t="shared" si="41"/>
        <v>-0.38970000000000005</v>
      </c>
      <c r="U135" s="34">
        <f t="shared" si="42"/>
        <v>-0.39999999999999997</v>
      </c>
    </row>
    <row r="136" spans="1:21" ht="14.25" thickBot="1" thickTop="1">
      <c r="A136" s="263"/>
      <c r="B136" s="277"/>
      <c r="C136" s="18" t="s">
        <v>66</v>
      </c>
      <c r="D136" s="99">
        <f>'CNTNR COST'!G136</f>
        <v>0.0703</v>
      </c>
      <c r="E136" s="27">
        <f>ROUND(E131/8,4)</f>
        <v>0.0252</v>
      </c>
      <c r="F136" s="23">
        <f>+$F$17</f>
        <v>0.0379</v>
      </c>
      <c r="G136" s="27">
        <f>ROUND($G$12/8,4)</f>
        <v>0</v>
      </c>
      <c r="H136" s="27">
        <f>ROUND($H$12/8,4)</f>
        <v>0.0013</v>
      </c>
      <c r="I136" s="27">
        <f t="shared" si="51"/>
        <v>0.1347</v>
      </c>
      <c r="J136" s="27">
        <f t="shared" si="52"/>
        <v>0.0049</v>
      </c>
      <c r="K136" s="27">
        <f t="shared" si="53"/>
        <v>0.1396</v>
      </c>
      <c r="L136" s="27">
        <f>ROUND(L$12/8,4)</f>
        <v>-0.0136</v>
      </c>
      <c r="M136" s="27">
        <f>ROUND(M$12/8,4)</f>
        <v>0.0302</v>
      </c>
      <c r="N136" s="111">
        <f t="shared" si="54"/>
        <v>0.1562</v>
      </c>
      <c r="P136" s="134">
        <f>IF(ROUND((N136-($W$10/8)+(INPUT!E$90))/(1-INPUT!$B$56),2)&gt;N136,ROUND((N136-($W$10/8)+(INPUT!E$90))/(1-INPUT!$B$56),2),ROUND(N136+0.01,2))</f>
        <v>0.17</v>
      </c>
      <c r="Q136" s="111">
        <v>0.3113</v>
      </c>
      <c r="S136" s="134">
        <v>0.32</v>
      </c>
      <c r="T136" s="110">
        <f t="shared" si="41"/>
        <v>-0.15510000000000002</v>
      </c>
      <c r="U136" s="34">
        <f t="shared" si="42"/>
        <v>-0.15</v>
      </c>
    </row>
    <row r="137" spans="1:21" ht="14.25" thickBot="1" thickTop="1">
      <c r="A137" s="264"/>
      <c r="B137" s="278"/>
      <c r="C137" s="18" t="s">
        <v>92</v>
      </c>
      <c r="D137" s="100">
        <f>'CNTNR COST'!G137</f>
        <v>0.3713</v>
      </c>
      <c r="E137" s="39">
        <f>E131</f>
        <v>0.2019</v>
      </c>
      <c r="F137" s="36">
        <f>+$F$18</f>
        <v>0.121</v>
      </c>
      <c r="G137" s="39">
        <f>ROUND($G$12,4)</f>
        <v>0</v>
      </c>
      <c r="H137" s="39">
        <f>ROUND($H$12,4)</f>
        <v>0.0102</v>
      </c>
      <c r="I137" s="39">
        <f t="shared" si="51"/>
        <v>0.7044</v>
      </c>
      <c r="J137" s="39">
        <f t="shared" si="52"/>
        <v>0.0255</v>
      </c>
      <c r="K137" s="39">
        <f t="shared" si="53"/>
        <v>0.7299</v>
      </c>
      <c r="L137" s="39">
        <f>L$12</f>
        <v>-0.1088</v>
      </c>
      <c r="M137" s="39">
        <f>M$12</f>
        <v>0.2416</v>
      </c>
      <c r="N137" s="112">
        <f t="shared" si="54"/>
        <v>0.8627</v>
      </c>
      <c r="P137" s="37">
        <f>ROUND((N137-($W$10)+(INPUT!E$91))/(1-INPUT!$B$56),2)</f>
        <v>0.78</v>
      </c>
      <c r="Q137" s="112">
        <v>2.2521</v>
      </c>
      <c r="S137" s="37">
        <v>2.34</v>
      </c>
      <c r="T137" s="110">
        <f t="shared" si="41"/>
        <v>-1.3894</v>
      </c>
      <c r="U137" s="34">
        <f t="shared" si="42"/>
        <v>-1.5599999999999998</v>
      </c>
    </row>
    <row r="138" spans="3:21" ht="14.25" thickBot="1" thickTop="1">
      <c r="C138" s="176"/>
      <c r="D138" s="40"/>
      <c r="Q138" s="109"/>
      <c r="T138" s="110" t="s">
        <v>12</v>
      </c>
      <c r="U138" s="34" t="s">
        <v>12</v>
      </c>
    </row>
    <row r="139" spans="1:21" ht="14.25" thickBot="1" thickTop="1">
      <c r="A139" s="262" t="s">
        <v>73</v>
      </c>
      <c r="B139" s="276"/>
      <c r="C139" s="18" t="s">
        <v>63</v>
      </c>
      <c r="D139" s="98">
        <f>'CNTNR COST'!G139</f>
        <v>0.595</v>
      </c>
      <c r="E139" s="38">
        <f>+E140*2</f>
        <v>1.386</v>
      </c>
      <c r="F139" s="22">
        <f>+$F$11</f>
        <v>-0.0561</v>
      </c>
      <c r="G139" s="27">
        <f>ROUND($G$12*2,4)</f>
        <v>0</v>
      </c>
      <c r="H139" s="38">
        <f>ROUND($H$12*2,4)</f>
        <v>0.0204</v>
      </c>
      <c r="I139" s="38">
        <f aca="true" t="shared" si="55" ref="I139:I146">ROUND(SUM(D139:H139),4)</f>
        <v>1.9453</v>
      </c>
      <c r="J139" s="38">
        <f aca="true" t="shared" si="56" ref="J139:J146">ROUND((I139/(1-$J$5))-I139,4)</f>
        <v>0.0706</v>
      </c>
      <c r="K139" s="38">
        <f aca="true" t="shared" si="57" ref="K139:K146">ROUND(I139+J139,4)</f>
        <v>2.0159</v>
      </c>
      <c r="L139" s="38">
        <f>ROUND(L$12*2,4)</f>
        <v>-0.2176</v>
      </c>
      <c r="M139" s="38">
        <f>ROUND(M$12*2,4)</f>
        <v>0.4832</v>
      </c>
      <c r="N139" s="110">
        <f aca="true" t="shared" si="58" ref="N139:N146">ROUND(SUM(K139:M139),4)</f>
        <v>2.2815</v>
      </c>
      <c r="P139" s="34">
        <f>ROUND((N139-($W$10*2)+(INPUT!E$84))/(1-INPUT!$B$56),2)</f>
        <v>2.13</v>
      </c>
      <c r="Q139" s="110">
        <v>3.8409</v>
      </c>
      <c r="S139" s="34">
        <v>4</v>
      </c>
      <c r="T139" s="110">
        <f t="shared" si="41"/>
        <v>-1.5594000000000001</v>
      </c>
      <c r="U139" s="34">
        <f t="shared" si="42"/>
        <v>-1.87</v>
      </c>
    </row>
    <row r="140" spans="1:21" ht="14.25" thickBot="1" thickTop="1">
      <c r="A140" s="263"/>
      <c r="B140" s="277"/>
      <c r="C140" s="18" t="s">
        <v>16</v>
      </c>
      <c r="D140" s="99">
        <f>'CNTNR COST'!G140</f>
        <v>0.2975</v>
      </c>
      <c r="E140" s="27">
        <f>SC_ADDON</f>
        <v>0.693</v>
      </c>
      <c r="F140" s="23">
        <f>+$F$12</f>
        <v>0.0448</v>
      </c>
      <c r="G140" s="27">
        <f>ENERGY_ADDON</f>
        <v>0</v>
      </c>
      <c r="H140" s="27">
        <f>COST_UPDATE_ADJ</f>
        <v>0.0102</v>
      </c>
      <c r="I140" s="27">
        <f t="shared" si="55"/>
        <v>1.0455</v>
      </c>
      <c r="J140" s="27">
        <f t="shared" si="56"/>
        <v>0.0379</v>
      </c>
      <c r="K140" s="27">
        <f t="shared" si="57"/>
        <v>1.0834</v>
      </c>
      <c r="L140" s="27">
        <f>$L$12</f>
        <v>-0.1088</v>
      </c>
      <c r="M140" s="27">
        <f>$M$12</f>
        <v>0.2416</v>
      </c>
      <c r="N140" s="111">
        <f t="shared" si="58"/>
        <v>1.2162</v>
      </c>
      <c r="P140" s="35">
        <f>ROUND((N140-($W$10)+(INPUT!E$85))/(1-INPUT!$B$56),2)</f>
        <v>1.14</v>
      </c>
      <c r="Q140" s="111">
        <v>1.9407</v>
      </c>
      <c r="S140" s="35">
        <v>2.02</v>
      </c>
      <c r="T140" s="110">
        <f t="shared" si="41"/>
        <v>-0.7245000000000001</v>
      </c>
      <c r="U140" s="34">
        <f t="shared" si="42"/>
        <v>-0.8800000000000001</v>
      </c>
    </row>
    <row r="141" spans="1:21" ht="14.25" thickBot="1" thickTop="1">
      <c r="A141" s="263"/>
      <c r="B141" s="277"/>
      <c r="C141" s="18" t="s">
        <v>17</v>
      </c>
      <c r="D141" s="99">
        <f>'CNTNR COST'!G141</f>
        <v>0.1488</v>
      </c>
      <c r="E141" s="27">
        <f>ROUND(E140/2,4)</f>
        <v>0.3465</v>
      </c>
      <c r="F141" s="23">
        <f>+$F$13</f>
        <v>0.1138</v>
      </c>
      <c r="G141" s="27">
        <f>ROUND($G$12/2,4)</f>
        <v>0</v>
      </c>
      <c r="H141" s="27">
        <f>ROUND($H$12/2,4)</f>
        <v>0.0051</v>
      </c>
      <c r="I141" s="27">
        <f t="shared" si="55"/>
        <v>0.6142</v>
      </c>
      <c r="J141" s="27">
        <f t="shared" si="56"/>
        <v>0.0223</v>
      </c>
      <c r="K141" s="27">
        <f t="shared" si="57"/>
        <v>0.6365</v>
      </c>
      <c r="L141" s="27">
        <f>ROUND(L$12/2,4)</f>
        <v>-0.0544</v>
      </c>
      <c r="M141" s="27">
        <f>ROUND(M$12/2,4)</f>
        <v>0.1208</v>
      </c>
      <c r="N141" s="111">
        <f t="shared" si="58"/>
        <v>0.7029</v>
      </c>
      <c r="P141" s="35">
        <f>ROUND((N141-($W$10/2)+(INPUT!E$86))/(1-INPUT!$B$56),2)</f>
        <v>0.67</v>
      </c>
      <c r="Q141" s="111">
        <v>0.9804</v>
      </c>
      <c r="S141" s="35">
        <v>1.02</v>
      </c>
      <c r="T141" s="110">
        <f t="shared" si="41"/>
        <v>-0.2775000000000001</v>
      </c>
      <c r="U141" s="34">
        <f t="shared" si="42"/>
        <v>-0.35</v>
      </c>
    </row>
    <row r="142" spans="1:21" ht="14.25" thickBot="1" thickTop="1">
      <c r="A142" s="263"/>
      <c r="B142" s="277"/>
      <c r="C142" s="18" t="s">
        <v>161</v>
      </c>
      <c r="D142" s="99">
        <f>'CNTNR COST'!G142</f>
        <v>0.1116</v>
      </c>
      <c r="E142" s="27">
        <f>ROUND(E140/32*12,4)</f>
        <v>0.2599</v>
      </c>
      <c r="F142" s="27">
        <f>+$F$14</f>
        <v>0</v>
      </c>
      <c r="G142" s="27">
        <f>ROUND($G$12/32*12,4)</f>
        <v>0</v>
      </c>
      <c r="H142" s="27">
        <f>ROUND($H$12/32*12,4)</f>
        <v>0.0038</v>
      </c>
      <c r="I142" s="27">
        <f>ROUND(SUM(D142:H142),4)</f>
        <v>0.3753</v>
      </c>
      <c r="J142" s="27">
        <f t="shared" si="56"/>
        <v>0.0136</v>
      </c>
      <c r="K142" s="27">
        <f>ROUND(I142+J142,4)</f>
        <v>0.3889</v>
      </c>
      <c r="L142" s="27">
        <f>ROUND(L140/32*12,4)</f>
        <v>-0.0408</v>
      </c>
      <c r="M142" s="27">
        <f>ROUND(M140/32*12,4)</f>
        <v>0.0906</v>
      </c>
      <c r="N142" s="111">
        <f t="shared" si="58"/>
        <v>0.4387</v>
      </c>
      <c r="P142" s="134">
        <f>IF(ROUND((N142-(($W$10/32)*12)+(INPUT!E$87))/(1-INPUT!$B$56),2)&gt;N142,ROUND((N142-($W$10/32*12)+(INPUT!$E$87))/(1-INPUT!$B$56),2),ROUND(N142+0.01,2))</f>
        <v>0.45</v>
      </c>
      <c r="Q142" s="111"/>
      <c r="S142" s="35"/>
      <c r="T142" s="110"/>
      <c r="U142" s="34"/>
    </row>
    <row r="143" spans="1:21" ht="14.25" thickBot="1" thickTop="1">
      <c r="A143" s="263"/>
      <c r="B143" s="277"/>
      <c r="C143" s="18" t="s">
        <v>64</v>
      </c>
      <c r="D143" s="99">
        <f>'CNTNR COST'!G143</f>
        <v>0.093</v>
      </c>
      <c r="E143" s="27">
        <f>ROUND(E140/32*10,4)</f>
        <v>0.2166</v>
      </c>
      <c r="F143" s="23">
        <f>+$F$15</f>
        <v>0</v>
      </c>
      <c r="G143" s="27">
        <f>ROUND($G$12/32*10,4)</f>
        <v>0</v>
      </c>
      <c r="H143" s="27">
        <f>ROUND($H$12/32*10,4)</f>
        <v>0.0032</v>
      </c>
      <c r="I143" s="27">
        <f t="shared" si="55"/>
        <v>0.3128</v>
      </c>
      <c r="J143" s="27">
        <f t="shared" si="56"/>
        <v>0.0113</v>
      </c>
      <c r="K143" s="27">
        <f t="shared" si="57"/>
        <v>0.3241</v>
      </c>
      <c r="L143" s="27">
        <f>ROUND(L140/32*10,4)</f>
        <v>-0.034</v>
      </c>
      <c r="M143" s="27">
        <f>ROUND(M140/32*10,4)</f>
        <v>0.0755</v>
      </c>
      <c r="N143" s="111">
        <f t="shared" si="58"/>
        <v>0.3656</v>
      </c>
      <c r="P143" s="134">
        <f>IF(ROUND((N143-($W$10/32*10)+(INPUT!E$88))/(1-INPUT!$B$56),2)&gt;N143,ROUND((N143-($W$10/32*10)+(INPUT!E$88))/(1-INPUT!$B$56),2),ROUND(N143+0.01,2))</f>
        <v>0.38</v>
      </c>
      <c r="Q143" s="111">
        <v>0.6175</v>
      </c>
      <c r="S143" s="134">
        <v>0.64</v>
      </c>
      <c r="T143" s="110">
        <f t="shared" si="41"/>
        <v>-0.25190000000000007</v>
      </c>
      <c r="U143" s="34">
        <f t="shared" si="42"/>
        <v>-0.26</v>
      </c>
    </row>
    <row r="144" spans="1:21" ht="14.25" thickBot="1" thickTop="1">
      <c r="A144" s="263"/>
      <c r="B144" s="277"/>
      <c r="C144" s="18" t="s">
        <v>65</v>
      </c>
      <c r="D144" s="99">
        <f>'CNTNR COST'!G144</f>
        <v>0.0744</v>
      </c>
      <c r="E144" s="27">
        <f>ROUND(E140/4,4)</f>
        <v>0.1733</v>
      </c>
      <c r="F144" s="23">
        <f>+$F$16</f>
        <v>0.0246</v>
      </c>
      <c r="G144" s="27">
        <f>ROUND($G$12/4,4)</f>
        <v>0</v>
      </c>
      <c r="H144" s="27">
        <f>ROUND($H$12/4,4)</f>
        <v>0.0026</v>
      </c>
      <c r="I144" s="27">
        <f t="shared" si="55"/>
        <v>0.2749</v>
      </c>
      <c r="J144" s="27">
        <f t="shared" si="56"/>
        <v>0.01</v>
      </c>
      <c r="K144" s="27">
        <f t="shared" si="57"/>
        <v>0.2849</v>
      </c>
      <c r="L144" s="27">
        <f>ROUND(L$12/4,4)</f>
        <v>-0.0272</v>
      </c>
      <c r="M144" s="27">
        <f>ROUND(M$12/4,4)</f>
        <v>0.0604</v>
      </c>
      <c r="N144" s="111">
        <f t="shared" si="58"/>
        <v>0.3181</v>
      </c>
      <c r="P144" s="134">
        <f>IF(ROUND((N144-($W$10/4)+(INPUT!E$89))/(1-INPUT!$B$56),2)&gt;N144,ROUND((N144-($W$10/4)+(INPUT!E$89))/(1-INPUT!$B$56),2),ROUND(N144+0.01,2))</f>
        <v>0.33</v>
      </c>
      <c r="Q144" s="111">
        <v>0.4971</v>
      </c>
      <c r="S144" s="134">
        <v>0.52</v>
      </c>
      <c r="T144" s="110">
        <f t="shared" si="41"/>
        <v>-0.179</v>
      </c>
      <c r="U144" s="34">
        <f t="shared" si="42"/>
        <v>-0.19</v>
      </c>
    </row>
    <row r="145" spans="1:21" ht="14.25" thickBot="1" thickTop="1">
      <c r="A145" s="263"/>
      <c r="B145" s="277"/>
      <c r="C145" s="18" t="s">
        <v>66</v>
      </c>
      <c r="D145" s="99">
        <f>'CNTNR COST'!G145</f>
        <v>0.0372</v>
      </c>
      <c r="E145" s="27">
        <f>ROUND(E140/8,4)</f>
        <v>0.0866</v>
      </c>
      <c r="F145" s="23">
        <f>+$F$17</f>
        <v>0.0379</v>
      </c>
      <c r="G145" s="27">
        <f>ROUND($G$12/8,4)</f>
        <v>0</v>
      </c>
      <c r="H145" s="27">
        <f>ROUND($H$12/8,4)</f>
        <v>0.0013</v>
      </c>
      <c r="I145" s="27">
        <f t="shared" si="55"/>
        <v>0.163</v>
      </c>
      <c r="J145" s="27">
        <f t="shared" si="56"/>
        <v>0.0059</v>
      </c>
      <c r="K145" s="27">
        <f t="shared" si="57"/>
        <v>0.1689</v>
      </c>
      <c r="L145" s="27">
        <f>ROUND(L$12/8,4)</f>
        <v>-0.0136</v>
      </c>
      <c r="M145" s="27">
        <f>ROUND(M$12/8,4)</f>
        <v>0.0302</v>
      </c>
      <c r="N145" s="111">
        <f t="shared" si="58"/>
        <v>0.1855</v>
      </c>
      <c r="P145" s="134">
        <f>IF(ROUND((N145-($W$10/8)+(INPUT!E$90))/(1-INPUT!$B$56),2)&gt;N145,ROUND((N145-($W$10/8)+(INPUT!E$90))/(1-INPUT!$B$56),2),ROUND(N145+0.01,2))</f>
        <v>0.2</v>
      </c>
      <c r="Q145" s="111">
        <v>0.2625</v>
      </c>
      <c r="S145" s="134">
        <v>0.27</v>
      </c>
      <c r="T145" s="110">
        <f t="shared" si="41"/>
        <v>-0.07700000000000001</v>
      </c>
      <c r="U145" s="34">
        <f t="shared" si="42"/>
        <v>-0.07</v>
      </c>
    </row>
    <row r="146" spans="1:21" ht="14.25" thickBot="1" thickTop="1">
      <c r="A146" s="264"/>
      <c r="B146" s="278"/>
      <c r="C146" s="18" t="s">
        <v>92</v>
      </c>
      <c r="D146" s="100">
        <f>'CNTNR COST'!G146</f>
        <v>0.2975</v>
      </c>
      <c r="E146" s="39">
        <f>E140</f>
        <v>0.693</v>
      </c>
      <c r="F146" s="36">
        <f>+$F$18</f>
        <v>0.121</v>
      </c>
      <c r="G146" s="39">
        <f>ROUND($G$12,4)</f>
        <v>0</v>
      </c>
      <c r="H146" s="39">
        <f>ROUND($H$12,4)</f>
        <v>0.0102</v>
      </c>
      <c r="I146" s="39">
        <f t="shared" si="55"/>
        <v>1.1217</v>
      </c>
      <c r="J146" s="39">
        <f t="shared" si="56"/>
        <v>0.0407</v>
      </c>
      <c r="K146" s="39">
        <f t="shared" si="57"/>
        <v>1.1624</v>
      </c>
      <c r="L146" s="39">
        <f>L$12</f>
        <v>-0.1088</v>
      </c>
      <c r="M146" s="39">
        <f>M$12</f>
        <v>0.2416</v>
      </c>
      <c r="N146" s="112">
        <f t="shared" si="58"/>
        <v>1.2952</v>
      </c>
      <c r="P146" s="37">
        <f>ROUND((N146-($W$10)+(INPUT!E$91))/(1-INPUT!$B$56),2)</f>
        <v>1.22</v>
      </c>
      <c r="Q146" s="112">
        <v>1.9651</v>
      </c>
      <c r="S146" s="37">
        <v>2.04</v>
      </c>
      <c r="T146" s="110">
        <f t="shared" si="41"/>
        <v>-0.6699000000000002</v>
      </c>
      <c r="U146" s="34">
        <f t="shared" si="42"/>
        <v>-0.8200000000000001</v>
      </c>
    </row>
    <row r="147" ht="13.5" thickTop="1">
      <c r="D147" s="40"/>
    </row>
    <row r="148" ht="12.75">
      <c r="D148" s="40"/>
    </row>
    <row r="149" ht="12.75">
      <c r="D149" s="40"/>
    </row>
    <row r="150" ht="12.75">
      <c r="D150" s="40"/>
    </row>
    <row r="151" ht="12.75">
      <c r="D151" s="40"/>
    </row>
    <row r="152" ht="12.75">
      <c r="D152" s="40"/>
    </row>
    <row r="153" spans="4:16" ht="12.75">
      <c r="D153" s="40"/>
      <c r="P153" s="97"/>
    </row>
    <row r="154" spans="4:16" ht="12.75">
      <c r="D154" s="40"/>
      <c r="P154" s="97"/>
    </row>
    <row r="155" ht="12.75">
      <c r="D155" s="40"/>
    </row>
    <row r="156" ht="12.75">
      <c r="D156" s="40"/>
    </row>
    <row r="157" ht="12.75">
      <c r="D157" s="40"/>
    </row>
    <row r="158" ht="12.75">
      <c r="D158" s="40"/>
    </row>
    <row r="159" ht="12.75">
      <c r="D159" s="40"/>
    </row>
    <row r="160" ht="12.75">
      <c r="D160" s="40"/>
    </row>
    <row r="161" ht="12.75">
      <c r="D161" s="40"/>
    </row>
    <row r="162" ht="12.75">
      <c r="D162" s="40"/>
    </row>
    <row r="163" ht="12.75">
      <c r="D163" s="40"/>
    </row>
    <row r="164" ht="12.75">
      <c r="D164" s="40"/>
    </row>
    <row r="165" ht="12.75">
      <c r="D165" s="40"/>
    </row>
    <row r="166" ht="12.75">
      <c r="D166" s="40"/>
    </row>
    <row r="167" ht="12.75">
      <c r="D167" s="40"/>
    </row>
    <row r="168" ht="12.75">
      <c r="D168" s="40"/>
    </row>
    <row r="169" ht="12.75">
      <c r="D169" s="40"/>
    </row>
    <row r="170" ht="12.75">
      <c r="D170" s="40"/>
    </row>
    <row r="171" ht="12.75">
      <c r="D171" s="40"/>
    </row>
    <row r="172" ht="12.75">
      <c r="D172" s="40"/>
    </row>
    <row r="173" ht="12.75">
      <c r="D173" s="40"/>
    </row>
    <row r="174" ht="12.75">
      <c r="D174" s="40"/>
    </row>
    <row r="175" ht="12.75">
      <c r="D175" s="40"/>
    </row>
    <row r="176" ht="12.75">
      <c r="D176" s="40"/>
    </row>
    <row r="177" ht="12.75">
      <c r="D177" s="40"/>
    </row>
    <row r="178" ht="12.75">
      <c r="D178" s="40"/>
    </row>
    <row r="179" ht="12.75">
      <c r="D179" s="40"/>
    </row>
    <row r="180" ht="12.75">
      <c r="D180" s="40"/>
    </row>
    <row r="181" ht="12.75">
      <c r="D181" s="40"/>
    </row>
    <row r="182" ht="12.75">
      <c r="D182" s="40"/>
    </row>
    <row r="183" ht="12.75">
      <c r="D183" s="40"/>
    </row>
    <row r="184" ht="12.75">
      <c r="D184" s="40"/>
    </row>
    <row r="185" ht="12.75">
      <c r="D185" s="40"/>
    </row>
    <row r="186" ht="12.75">
      <c r="D186" s="40"/>
    </row>
    <row r="187" ht="12.75">
      <c r="D187" s="40"/>
    </row>
    <row r="188" ht="12.75">
      <c r="D188" s="40"/>
    </row>
    <row r="189" ht="12.75">
      <c r="D189" s="40"/>
    </row>
    <row r="190" ht="12.75">
      <c r="D190" s="40"/>
    </row>
    <row r="191" ht="12.75">
      <c r="D191" s="40"/>
    </row>
    <row r="192" ht="12.75">
      <c r="D192" s="40"/>
    </row>
    <row r="193" ht="12.75">
      <c r="D193" s="40"/>
    </row>
    <row r="194" ht="12.75">
      <c r="D194" s="40"/>
    </row>
    <row r="195" ht="12.75">
      <c r="D195" s="40"/>
    </row>
    <row r="196" ht="12.75">
      <c r="D196" s="40"/>
    </row>
    <row r="197" ht="12.75">
      <c r="D197" s="40"/>
    </row>
    <row r="198" ht="12.75">
      <c r="D198" s="40"/>
    </row>
    <row r="199" ht="12.75">
      <c r="D199" s="40"/>
    </row>
    <row r="200" ht="12.75">
      <c r="D200" s="40"/>
    </row>
    <row r="201" ht="12.75">
      <c r="D201" s="40"/>
    </row>
    <row r="202" ht="12.75">
      <c r="D202" s="40"/>
    </row>
    <row r="203" ht="12.75">
      <c r="D203" s="40"/>
    </row>
    <row r="204" ht="12.75">
      <c r="D204" s="40"/>
    </row>
    <row r="205" ht="12.75">
      <c r="D205" s="40"/>
    </row>
    <row r="206" ht="12.75">
      <c r="D206" s="40"/>
    </row>
    <row r="207" ht="12.75">
      <c r="D207" s="40"/>
    </row>
    <row r="208" ht="12.75">
      <c r="D208" s="40"/>
    </row>
    <row r="209" ht="12.75">
      <c r="D209" s="40"/>
    </row>
    <row r="210" ht="12.75">
      <c r="D210" s="40"/>
    </row>
    <row r="211" ht="12.75">
      <c r="D211" s="40"/>
    </row>
    <row r="212" ht="12.75">
      <c r="D212" s="40"/>
    </row>
    <row r="213" ht="12.75">
      <c r="D213" s="40"/>
    </row>
    <row r="214" ht="12.75">
      <c r="D214" s="40"/>
    </row>
    <row r="215" ht="12.75">
      <c r="D215" s="40"/>
    </row>
    <row r="216" ht="12.75">
      <c r="D216" s="40"/>
    </row>
    <row r="217" ht="12.75">
      <c r="D217" s="40"/>
    </row>
    <row r="218" ht="12.75">
      <c r="D218" s="40"/>
    </row>
    <row r="219" ht="12.75">
      <c r="D219" s="40"/>
    </row>
    <row r="220" ht="12.75">
      <c r="D220" s="40"/>
    </row>
    <row r="221" ht="12.75">
      <c r="D221" s="40"/>
    </row>
    <row r="222" ht="12.75">
      <c r="D222" s="40"/>
    </row>
    <row r="223" ht="12.75">
      <c r="D223" s="40"/>
    </row>
    <row r="224" ht="12.75">
      <c r="D224" s="40"/>
    </row>
    <row r="225" ht="12.75">
      <c r="D225" s="40"/>
    </row>
    <row r="226" ht="12.75">
      <c r="D226" s="40"/>
    </row>
    <row r="227" ht="12.75">
      <c r="D227" s="40"/>
    </row>
    <row r="228" ht="12.75">
      <c r="D228" s="40"/>
    </row>
    <row r="229" ht="12.75">
      <c r="D229" s="40"/>
    </row>
    <row r="230" ht="12.75">
      <c r="D230" s="40"/>
    </row>
    <row r="231" ht="12.75">
      <c r="D231" s="40"/>
    </row>
    <row r="232" ht="12.75">
      <c r="D232" s="40"/>
    </row>
    <row r="233" ht="12.75">
      <c r="D233" s="40"/>
    </row>
    <row r="234" ht="12.75">
      <c r="D234" s="40"/>
    </row>
    <row r="235" ht="12.75">
      <c r="D235" s="40"/>
    </row>
    <row r="236" ht="12.75">
      <c r="D236" s="40"/>
    </row>
    <row r="237" ht="12.75">
      <c r="D237" s="40"/>
    </row>
    <row r="238" ht="12.75">
      <c r="D238" s="40"/>
    </row>
    <row r="239" ht="12.75">
      <c r="D239" s="40"/>
    </row>
    <row r="240" ht="12.75">
      <c r="D240" s="40"/>
    </row>
    <row r="241" ht="12.75">
      <c r="D241" s="40"/>
    </row>
    <row r="242" ht="12.75">
      <c r="D242" s="40"/>
    </row>
    <row r="243" ht="12.75">
      <c r="D243" s="40"/>
    </row>
    <row r="244" ht="12.75">
      <c r="D244" s="40"/>
    </row>
    <row r="245" ht="12.75">
      <c r="D245" s="40"/>
    </row>
    <row r="246" ht="12.75">
      <c r="D246" s="40"/>
    </row>
    <row r="247" ht="12.75">
      <c r="D247" s="40"/>
    </row>
    <row r="248" ht="12.75">
      <c r="D248" s="40"/>
    </row>
    <row r="249" ht="12.75">
      <c r="D249" s="40"/>
    </row>
    <row r="250" ht="12.75">
      <c r="D250" s="40"/>
    </row>
    <row r="251" ht="12.75">
      <c r="D251" s="40"/>
    </row>
    <row r="252" ht="12.75">
      <c r="D252" s="40"/>
    </row>
    <row r="253" ht="12.75">
      <c r="D253" s="40"/>
    </row>
    <row r="254" ht="12.75">
      <c r="D254" s="40"/>
    </row>
    <row r="255" ht="12.75">
      <c r="D255" s="40"/>
    </row>
    <row r="256" ht="12.75">
      <c r="D256" s="40"/>
    </row>
    <row r="257" ht="12.75">
      <c r="D257" s="40"/>
    </row>
    <row r="258" ht="12.75">
      <c r="D258" s="40"/>
    </row>
    <row r="259" ht="12.75">
      <c r="D259" s="40"/>
    </row>
    <row r="260" ht="12.75">
      <c r="D260" s="40"/>
    </row>
    <row r="261" ht="12.75">
      <c r="D261" s="40"/>
    </row>
    <row r="262" ht="12.75">
      <c r="D262" s="40"/>
    </row>
    <row r="263" ht="12.75">
      <c r="D263" s="40"/>
    </row>
    <row r="264" ht="12.75">
      <c r="D264" s="40"/>
    </row>
    <row r="265" ht="12.75">
      <c r="D265" s="40"/>
    </row>
    <row r="266" ht="12.75">
      <c r="D266" s="40"/>
    </row>
    <row r="267" ht="12.75">
      <c r="D267" s="40"/>
    </row>
    <row r="268" ht="12.75">
      <c r="D268" s="40"/>
    </row>
    <row r="269" ht="12.75">
      <c r="D269" s="40"/>
    </row>
    <row r="270" ht="12.75">
      <c r="D270" s="40"/>
    </row>
    <row r="271" ht="12.75">
      <c r="D271" s="40"/>
    </row>
    <row r="272" ht="12.75">
      <c r="D272" s="40"/>
    </row>
    <row r="273" ht="12.75">
      <c r="D273" s="40"/>
    </row>
    <row r="274" ht="12.75">
      <c r="D274" s="40"/>
    </row>
    <row r="275" ht="12.75">
      <c r="D275" s="40"/>
    </row>
    <row r="276" ht="12.75">
      <c r="D276" s="40"/>
    </row>
    <row r="277" ht="12.75">
      <c r="D277" s="40"/>
    </row>
    <row r="278" ht="12.75">
      <c r="D278" s="40"/>
    </row>
    <row r="279" ht="12.75">
      <c r="D279" s="40"/>
    </row>
    <row r="280" ht="12.75">
      <c r="D280" s="40"/>
    </row>
    <row r="281" ht="12.75">
      <c r="D281" s="40"/>
    </row>
    <row r="282" ht="12.75">
      <c r="D282" s="40"/>
    </row>
    <row r="283" ht="12.75">
      <c r="D283" s="40"/>
    </row>
    <row r="284" ht="12.75">
      <c r="D284" s="40"/>
    </row>
    <row r="285" ht="12.75">
      <c r="D285" s="40"/>
    </row>
    <row r="286" ht="12.75">
      <c r="D286" s="40"/>
    </row>
    <row r="287" ht="12.75">
      <c r="D287" s="40"/>
    </row>
    <row r="288" ht="12.75">
      <c r="D288" s="40"/>
    </row>
    <row r="289" ht="12.75">
      <c r="D289" s="40"/>
    </row>
    <row r="290" ht="12.75">
      <c r="D290" s="40"/>
    </row>
    <row r="291" ht="12.75">
      <c r="D291" s="40"/>
    </row>
    <row r="292" ht="12.75">
      <c r="D292" s="40"/>
    </row>
    <row r="293" ht="12.75">
      <c r="D293" s="40"/>
    </row>
    <row r="294" ht="12.75">
      <c r="D294" s="40"/>
    </row>
    <row r="295" ht="12.75">
      <c r="D295" s="40"/>
    </row>
    <row r="296" ht="12.75">
      <c r="D296" s="40"/>
    </row>
    <row r="297" ht="12.75">
      <c r="D297" s="40"/>
    </row>
    <row r="298" ht="12.75">
      <c r="D298" s="40"/>
    </row>
    <row r="299" ht="12.75">
      <c r="D299" s="40"/>
    </row>
    <row r="300" ht="12.75">
      <c r="D300" s="40"/>
    </row>
    <row r="301" ht="12.75">
      <c r="D301" s="40"/>
    </row>
    <row r="302" ht="12.75">
      <c r="D302" s="40"/>
    </row>
    <row r="303" ht="12.75">
      <c r="D303" s="40"/>
    </row>
    <row r="304" ht="12.75">
      <c r="D304" s="40"/>
    </row>
    <row r="305" ht="12.75">
      <c r="D305" s="40"/>
    </row>
    <row r="306" ht="12.75">
      <c r="D306" s="40"/>
    </row>
    <row r="307" ht="12.75">
      <c r="D307" s="40"/>
    </row>
    <row r="308" ht="12.75">
      <c r="D308" s="40"/>
    </row>
    <row r="309" ht="12.75">
      <c r="D309" s="40"/>
    </row>
    <row r="310" ht="12.75">
      <c r="D310" s="40"/>
    </row>
    <row r="311" ht="12.75">
      <c r="D311" s="40"/>
    </row>
    <row r="312" ht="12.75">
      <c r="D312" s="40"/>
    </row>
    <row r="313" ht="12.75">
      <c r="D313" s="40"/>
    </row>
    <row r="314" ht="12.75">
      <c r="D314" s="40"/>
    </row>
    <row r="315" ht="12.75">
      <c r="D315" s="40"/>
    </row>
    <row r="316" ht="12.75">
      <c r="D316" s="40"/>
    </row>
    <row r="317" ht="12.75">
      <c r="D317" s="40"/>
    </row>
    <row r="318" ht="12.75">
      <c r="D318" s="40"/>
    </row>
    <row r="319" ht="12.75">
      <c r="D319" s="40"/>
    </row>
    <row r="320" ht="12.75">
      <c r="D320" s="40"/>
    </row>
    <row r="321" ht="12.75">
      <c r="D321" s="40"/>
    </row>
    <row r="322" ht="12.75">
      <c r="D322" s="40"/>
    </row>
    <row r="323" ht="12.75">
      <c r="D323" s="40"/>
    </row>
    <row r="324" ht="12.75">
      <c r="D324" s="40"/>
    </row>
    <row r="325" ht="12.75">
      <c r="D325" s="40"/>
    </row>
    <row r="326" ht="12.75">
      <c r="D326" s="40"/>
    </row>
    <row r="327" ht="12.75">
      <c r="D327" s="40"/>
    </row>
    <row r="328" ht="12.75">
      <c r="D328" s="40"/>
    </row>
    <row r="329" ht="12.75">
      <c r="D329" s="40"/>
    </row>
    <row r="330" ht="12.75">
      <c r="D330" s="40"/>
    </row>
    <row r="331" ht="12.75">
      <c r="D331" s="40"/>
    </row>
    <row r="332" ht="12.75">
      <c r="D332" s="40"/>
    </row>
    <row r="333" ht="12.75">
      <c r="D333" s="40"/>
    </row>
    <row r="334" ht="12.75">
      <c r="D334" s="40"/>
    </row>
    <row r="335" ht="12.75">
      <c r="D335" s="40"/>
    </row>
    <row r="336" ht="12.75">
      <c r="D336" s="40"/>
    </row>
    <row r="337" ht="12.75">
      <c r="D337" s="40"/>
    </row>
    <row r="338" ht="12.75">
      <c r="D338" s="40"/>
    </row>
    <row r="339" ht="12.75">
      <c r="D339" s="40"/>
    </row>
    <row r="340" ht="12.75">
      <c r="D340" s="40"/>
    </row>
    <row r="341" ht="12.75">
      <c r="D341" s="40"/>
    </row>
    <row r="342" ht="12.75">
      <c r="D342" s="40"/>
    </row>
    <row r="343" ht="12.75">
      <c r="D343" s="40"/>
    </row>
    <row r="344" ht="12.75">
      <c r="D344" s="40"/>
    </row>
    <row r="345" ht="12.75">
      <c r="D345" s="40"/>
    </row>
    <row r="346" ht="12.75">
      <c r="D346" s="40"/>
    </row>
    <row r="347" ht="12.75">
      <c r="D347" s="40"/>
    </row>
    <row r="348" ht="12.75">
      <c r="D348" s="40"/>
    </row>
    <row r="349" ht="12.75">
      <c r="D349" s="40"/>
    </row>
    <row r="350" ht="12.75">
      <c r="D350" s="40"/>
    </row>
    <row r="351" ht="12.75">
      <c r="D351" s="40"/>
    </row>
    <row r="352" ht="12.75">
      <c r="D352" s="40"/>
    </row>
    <row r="353" ht="12.75">
      <c r="D353" s="40"/>
    </row>
    <row r="354" ht="12.75">
      <c r="D354" s="40"/>
    </row>
    <row r="355" ht="12.75">
      <c r="D355" s="40"/>
    </row>
    <row r="356" ht="12.75">
      <c r="D356" s="40"/>
    </row>
    <row r="357" ht="12.75">
      <c r="D357" s="40"/>
    </row>
    <row r="358" ht="12.75">
      <c r="D358" s="40"/>
    </row>
    <row r="359" ht="12.75">
      <c r="D359" s="40"/>
    </row>
    <row r="360" ht="12.75">
      <c r="D360" s="40"/>
    </row>
    <row r="361" ht="12.75">
      <c r="D361" s="40"/>
    </row>
    <row r="362" ht="12.75">
      <c r="D362" s="40"/>
    </row>
    <row r="363" ht="12.75">
      <c r="D363" s="40"/>
    </row>
    <row r="364" ht="12.75">
      <c r="D364" s="40"/>
    </row>
    <row r="365" ht="12.75">
      <c r="D365" s="40"/>
    </row>
    <row r="366" ht="12.75">
      <c r="D366" s="40"/>
    </row>
    <row r="367" ht="12.75">
      <c r="D367" s="40"/>
    </row>
    <row r="368" ht="12.75">
      <c r="D368" s="40"/>
    </row>
    <row r="369" ht="12.75">
      <c r="D369" s="40"/>
    </row>
    <row r="370" ht="12.75">
      <c r="D370" s="40"/>
    </row>
    <row r="371" ht="12.75">
      <c r="D371" s="40"/>
    </row>
    <row r="372" ht="12.75">
      <c r="D372" s="40"/>
    </row>
    <row r="373" ht="12.75">
      <c r="D373" s="40"/>
    </row>
    <row r="374" ht="12.75">
      <c r="D374" s="40"/>
    </row>
    <row r="375" ht="12.75">
      <c r="D375" s="40"/>
    </row>
    <row r="376" ht="12.75">
      <c r="D376" s="40"/>
    </row>
    <row r="377" ht="12.75">
      <c r="D377" s="40"/>
    </row>
    <row r="378" ht="12.75">
      <c r="D378" s="40"/>
    </row>
    <row r="379" ht="12.75">
      <c r="D379" s="40"/>
    </row>
    <row r="380" ht="12.75">
      <c r="D380" s="40"/>
    </row>
    <row r="381" ht="12.75">
      <c r="D381" s="40"/>
    </row>
    <row r="382" ht="12.75">
      <c r="D382" s="40"/>
    </row>
    <row r="383" ht="12.75">
      <c r="D383" s="40"/>
    </row>
    <row r="384" ht="12.75">
      <c r="D384" s="40"/>
    </row>
    <row r="385" ht="12.75">
      <c r="D385" s="40"/>
    </row>
    <row r="386" ht="12.75">
      <c r="D386" s="40"/>
    </row>
    <row r="387" ht="12.75">
      <c r="D387" s="40"/>
    </row>
    <row r="388" ht="12.75">
      <c r="D388" s="40"/>
    </row>
    <row r="389" ht="12.75">
      <c r="D389" s="40"/>
    </row>
    <row r="390" ht="12.75">
      <c r="D390" s="40"/>
    </row>
    <row r="391" ht="12.75">
      <c r="D391" s="40"/>
    </row>
    <row r="392" ht="12.75">
      <c r="D392" s="40"/>
    </row>
    <row r="393" ht="12.75">
      <c r="D393" s="40"/>
    </row>
    <row r="394" ht="12.75">
      <c r="D394" s="40"/>
    </row>
    <row r="395" ht="12.75">
      <c r="D395" s="40"/>
    </row>
    <row r="396" ht="12.75">
      <c r="D396" s="40"/>
    </row>
    <row r="397" ht="12.75">
      <c r="D397" s="40"/>
    </row>
    <row r="398" ht="12.75">
      <c r="D398" s="40"/>
    </row>
    <row r="399" ht="12.75">
      <c r="D399" s="40"/>
    </row>
    <row r="400" ht="12.75">
      <c r="D400" s="40"/>
    </row>
    <row r="401" ht="12.75">
      <c r="D401" s="40"/>
    </row>
    <row r="402" ht="12.75">
      <c r="D402" s="40"/>
    </row>
    <row r="403" ht="12.75">
      <c r="D403" s="40"/>
    </row>
    <row r="404" ht="12.75">
      <c r="D404" s="40"/>
    </row>
    <row r="405" ht="12.75">
      <c r="D405" s="40"/>
    </row>
    <row r="406" ht="12.75">
      <c r="D406" s="40"/>
    </row>
    <row r="407" ht="12.75">
      <c r="D407" s="40"/>
    </row>
    <row r="408" ht="12.75">
      <c r="D408" s="40"/>
    </row>
    <row r="409" ht="12.75">
      <c r="D409" s="40"/>
    </row>
    <row r="410" ht="12.75">
      <c r="D410" s="40"/>
    </row>
    <row r="411" ht="12.75">
      <c r="D411" s="40"/>
    </row>
    <row r="412" ht="12.75">
      <c r="D412" s="40"/>
    </row>
    <row r="413" ht="12.75">
      <c r="D413" s="40"/>
    </row>
    <row r="414" ht="12.75">
      <c r="D414" s="40"/>
    </row>
    <row r="415" ht="12.75">
      <c r="D415" s="40"/>
    </row>
    <row r="416" ht="12.75">
      <c r="D416" s="40"/>
    </row>
    <row r="417" ht="12.75">
      <c r="D417" s="40"/>
    </row>
    <row r="418" ht="12.75">
      <c r="D418" s="40"/>
    </row>
    <row r="419" ht="12.75">
      <c r="D419" s="40"/>
    </row>
    <row r="420" ht="12.75">
      <c r="D420" s="40"/>
    </row>
    <row r="421" ht="12.75">
      <c r="D421" s="40"/>
    </row>
    <row r="422" ht="12.75">
      <c r="D422" s="40"/>
    </row>
    <row r="423" ht="12.75">
      <c r="D423" s="40"/>
    </row>
    <row r="424" ht="12.75">
      <c r="D424" s="40"/>
    </row>
    <row r="425" ht="12.75">
      <c r="D425" s="40"/>
    </row>
    <row r="426" ht="12.75">
      <c r="D426" s="40"/>
    </row>
    <row r="427" ht="12.75">
      <c r="D427" s="40"/>
    </row>
    <row r="428" ht="12.75">
      <c r="D428" s="40"/>
    </row>
    <row r="429" ht="12.75">
      <c r="D429" s="40"/>
    </row>
    <row r="430" ht="12.75">
      <c r="D430" s="40"/>
    </row>
    <row r="431" ht="12.75">
      <c r="D431" s="40"/>
    </row>
  </sheetData>
  <sheetProtection/>
  <mergeCells count="24">
    <mergeCell ref="A139:B146"/>
    <mergeCell ref="A121:A128"/>
    <mergeCell ref="B121:B128"/>
    <mergeCell ref="A130:A137"/>
    <mergeCell ref="B130:B137"/>
    <mergeCell ref="A112:A119"/>
    <mergeCell ref="B112:B119"/>
    <mergeCell ref="A80:B88"/>
    <mergeCell ref="A100:B110"/>
    <mergeCell ref="A90:B98"/>
    <mergeCell ref="A50:A58"/>
    <mergeCell ref="B50:B58"/>
    <mergeCell ref="A60:A68"/>
    <mergeCell ref="B60:B68"/>
    <mergeCell ref="A70:A78"/>
    <mergeCell ref="B70:B78"/>
    <mergeCell ref="A30:A38"/>
    <mergeCell ref="B30:B38"/>
    <mergeCell ref="A40:A48"/>
    <mergeCell ref="B40:B48"/>
    <mergeCell ref="A10:A18"/>
    <mergeCell ref="B10:B18"/>
    <mergeCell ref="A20:A28"/>
    <mergeCell ref="B20:B28"/>
  </mergeCells>
  <printOptions gridLines="1" horizontalCentered="1"/>
  <pageMargins left="0.25" right="0.25" top="0.25" bottom="0.25" header="0.5" footer="0.5"/>
  <pageSetup fitToHeight="9" horizontalDpi="600" verticalDpi="600" orientation="landscape" paperSize="5" scale="86" r:id="rId1"/>
  <rowBreaks count="2" manualBreakCount="2">
    <brk id="48" min="2" max="24" man="1"/>
    <brk id="9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zoomScale="70" zoomScaleNormal="70" zoomScalePageLayoutView="0" workbookViewId="0" topLeftCell="A20">
      <selection activeCell="E47" sqref="E47:M67"/>
    </sheetView>
  </sheetViews>
  <sheetFormatPr defaultColWidth="9.140625" defaultRowHeight="12.75"/>
  <cols>
    <col min="1" max="1" width="38.140625" style="0" customWidth="1"/>
    <col min="2" max="2" width="11.421875" style="0" customWidth="1"/>
    <col min="5" max="5" width="10.7109375" style="0" customWidth="1"/>
    <col min="7" max="8" width="9.421875" style="0" bestFit="1" customWidth="1"/>
    <col min="10" max="11" width="9.421875" style="0" bestFit="1" customWidth="1"/>
  </cols>
  <sheetData>
    <row r="1" spans="1:13" ht="33">
      <c r="A1" s="149" t="s">
        <v>94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8.75" thickBot="1">
      <c r="A2" s="48" t="s">
        <v>39</v>
      </c>
      <c r="B2" s="30"/>
      <c r="C2" s="30"/>
      <c r="D2" s="30"/>
      <c r="E2" s="30"/>
      <c r="F2" s="30"/>
      <c r="G2" s="30"/>
      <c r="H2" s="30"/>
      <c r="I2" s="30"/>
      <c r="J2" s="30"/>
      <c r="K2" s="172"/>
      <c r="L2" s="169"/>
      <c r="M2" s="169"/>
    </row>
    <row r="3" spans="1:13" ht="18.75" thickBot="1">
      <c r="A3" s="48" t="s">
        <v>134</v>
      </c>
      <c r="B3" s="30"/>
      <c r="C3" s="30"/>
      <c r="D3" s="30"/>
      <c r="E3" s="30"/>
      <c r="F3" s="30"/>
      <c r="G3" s="30"/>
      <c r="H3" s="30"/>
      <c r="I3" s="30"/>
      <c r="J3" s="30"/>
      <c r="K3" s="165"/>
      <c r="L3" s="170" t="s">
        <v>129</v>
      </c>
      <c r="M3" s="170" t="s">
        <v>130</v>
      </c>
    </row>
    <row r="4" spans="1:13" ht="18.75" thickBot="1">
      <c r="A4" s="48" t="s">
        <v>135</v>
      </c>
      <c r="B4" s="30"/>
      <c r="C4" s="30"/>
      <c r="D4" s="30"/>
      <c r="E4" s="30"/>
      <c r="F4" s="30"/>
      <c r="G4" s="30"/>
      <c r="H4" s="30"/>
      <c r="I4" s="279" t="s">
        <v>127</v>
      </c>
      <c r="J4" s="280"/>
      <c r="K4" s="281"/>
      <c r="L4" s="166">
        <f>RAW!B5</f>
        <v>0</v>
      </c>
      <c r="M4" s="167">
        <f>RAW!C5</f>
        <v>0</v>
      </c>
    </row>
    <row r="5" spans="1:13" ht="18.75" thickBot="1">
      <c r="A5" s="48" t="s">
        <v>136</v>
      </c>
      <c r="B5" s="30"/>
      <c r="C5" s="30"/>
      <c r="D5" s="30"/>
      <c r="E5" s="30"/>
      <c r="F5" s="30"/>
      <c r="G5" s="30"/>
      <c r="H5" s="30"/>
      <c r="I5" s="282" t="s">
        <v>128</v>
      </c>
      <c r="J5" s="283"/>
      <c r="K5" s="284"/>
      <c r="L5" s="171">
        <f>RAW!B6</f>
        <v>0</v>
      </c>
      <c r="M5" s="168">
        <f>RAW!C6</f>
        <v>0</v>
      </c>
    </row>
    <row r="6" spans="1:13" ht="33.75" thickBot="1">
      <c r="A6" s="150">
        <f>INPUT!$B$3</f>
        <v>0</v>
      </c>
      <c r="B6" s="41"/>
      <c r="C6" s="41"/>
      <c r="D6" s="285"/>
      <c r="E6" s="285"/>
      <c r="F6" s="41"/>
      <c r="G6" s="41"/>
      <c r="H6" s="41"/>
      <c r="K6" s="49" t="str">
        <f>INPUT!A2</f>
        <v>OGO A-963 (CRO-14)</v>
      </c>
      <c r="L6" s="43"/>
      <c r="M6" s="43"/>
    </row>
    <row r="7" spans="1:13" ht="16.5" thickBot="1" thickTop="1">
      <c r="A7" s="50"/>
      <c r="B7" s="50"/>
      <c r="C7" s="51" t="s">
        <v>96</v>
      </c>
      <c r="D7" s="52"/>
      <c r="E7" s="53" t="s">
        <v>97</v>
      </c>
      <c r="F7" s="54" t="s">
        <v>98</v>
      </c>
      <c r="G7" s="55"/>
      <c r="H7" s="55"/>
      <c r="I7" s="55"/>
      <c r="J7" s="55"/>
      <c r="K7" s="55"/>
      <c r="L7" s="55"/>
      <c r="M7" s="56"/>
    </row>
    <row r="8" spans="1:13" ht="16.5" thickBot="1" thickTop="1">
      <c r="A8" s="57"/>
      <c r="B8" s="57" t="s">
        <v>99</v>
      </c>
      <c r="C8" s="58" t="s">
        <v>100</v>
      </c>
      <c r="D8" s="59"/>
      <c r="E8" s="60" t="s">
        <v>101</v>
      </c>
      <c r="F8" s="53" t="s">
        <v>171</v>
      </c>
      <c r="G8" s="53" t="s">
        <v>102</v>
      </c>
      <c r="H8" s="53"/>
      <c r="I8" s="53"/>
      <c r="J8" s="53"/>
      <c r="K8" s="53"/>
      <c r="L8" s="60" t="s">
        <v>103</v>
      </c>
      <c r="M8" s="53"/>
    </row>
    <row r="9" spans="1:13" ht="16.5" thickBot="1" thickTop="1">
      <c r="A9" s="61" t="s">
        <v>104</v>
      </c>
      <c r="B9" s="61" t="s">
        <v>105</v>
      </c>
      <c r="C9" s="62" t="s">
        <v>106</v>
      </c>
      <c r="D9" s="62" t="s">
        <v>107</v>
      </c>
      <c r="E9" s="62" t="s">
        <v>108</v>
      </c>
      <c r="F9" s="62" t="s">
        <v>172</v>
      </c>
      <c r="G9" s="62" t="s">
        <v>109</v>
      </c>
      <c r="H9" s="62" t="s">
        <v>16</v>
      </c>
      <c r="I9" s="62" t="s">
        <v>17</v>
      </c>
      <c r="J9" s="62" t="s">
        <v>162</v>
      </c>
      <c r="K9" s="62" t="s">
        <v>163</v>
      </c>
      <c r="L9" s="195" t="s">
        <v>158</v>
      </c>
      <c r="M9" s="62" t="s">
        <v>110</v>
      </c>
    </row>
    <row r="10" spans="1:13" ht="15.75" thickTop="1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5"/>
    </row>
    <row r="11" spans="1:13" ht="15">
      <c r="A11" s="76" t="s">
        <v>111</v>
      </c>
      <c r="B11" s="77">
        <v>400</v>
      </c>
      <c r="C11" s="78">
        <v>3.1</v>
      </c>
      <c r="D11" s="78">
        <v>6</v>
      </c>
      <c r="E11" s="79">
        <f>DETAIL!N18</f>
        <v>0.6558</v>
      </c>
      <c r="F11" s="79">
        <f>DETAIL!N10</f>
        <v>1.7242</v>
      </c>
      <c r="G11" s="79">
        <f>DETAIL!N11</f>
        <v>0.8496</v>
      </c>
      <c r="H11" s="79">
        <f>DETAIL!N12</f>
        <v>0.5004</v>
      </c>
      <c r="I11" s="79">
        <f>DETAIL!N13</f>
        <v>0.3449</v>
      </c>
      <c r="J11" s="79">
        <f>DETAIL!N14</f>
        <v>0.2355</v>
      </c>
      <c r="K11" s="79">
        <f>DETAIL!N15</f>
        <v>0.1739</v>
      </c>
      <c r="L11" s="79">
        <f>DETAIL!N16</f>
        <v>0.139</v>
      </c>
      <c r="M11" s="80">
        <f>DETAIL!N17</f>
        <v>0.1304</v>
      </c>
    </row>
    <row r="12" spans="1:13" ht="15">
      <c r="A12" s="76" t="s">
        <v>48</v>
      </c>
      <c r="B12" s="77">
        <v>800</v>
      </c>
      <c r="C12" s="78">
        <v>1.5</v>
      </c>
      <c r="D12" s="78">
        <v>3.09</v>
      </c>
      <c r="E12" s="79">
        <f>DETAIL!N28</f>
        <v>0.656</v>
      </c>
      <c r="F12" s="79">
        <f>DETAIL!N20</f>
        <v>1.7251</v>
      </c>
      <c r="G12" s="79">
        <f>DETAIL!N21</f>
        <v>0.8501</v>
      </c>
      <c r="H12" s="79">
        <f>DETAIL!N22</f>
        <v>0.5006</v>
      </c>
      <c r="I12" s="79">
        <f>DETAIL!N23</f>
        <v>0.3451</v>
      </c>
      <c r="J12" s="79">
        <f>DETAIL!N24</f>
        <v>0.2356</v>
      </c>
      <c r="K12" s="79">
        <f>DETAIL!N25</f>
        <v>0.1739</v>
      </c>
      <c r="L12" s="79">
        <f>DETAIL!N26</f>
        <v>0.1391</v>
      </c>
      <c r="M12" s="80">
        <f>DETAIL!N27</f>
        <v>0.1304</v>
      </c>
    </row>
    <row r="13" spans="1:13" ht="15">
      <c r="A13" s="66" t="s">
        <v>93</v>
      </c>
      <c r="B13" s="67">
        <v>900</v>
      </c>
      <c r="C13" s="68">
        <v>0.5</v>
      </c>
      <c r="D13" s="68">
        <v>1.49</v>
      </c>
      <c r="E13" s="69">
        <f>DETAIL!N38</f>
        <v>0.656</v>
      </c>
      <c r="F13" s="69">
        <f>DETAIL!N30</f>
        <v>1.7251</v>
      </c>
      <c r="G13" s="69">
        <f>DETAIL!N31</f>
        <v>0.8501</v>
      </c>
      <c r="H13" s="69">
        <f>DETAIL!N32</f>
        <v>0.5006</v>
      </c>
      <c r="I13" s="69">
        <f>DETAIL!N33</f>
        <v>0.3451</v>
      </c>
      <c r="J13" s="69">
        <f>DETAIL!N34</f>
        <v>0.2356</v>
      </c>
      <c r="K13" s="69">
        <f>DETAIL!N35</f>
        <v>0.1739</v>
      </c>
      <c r="L13" s="69">
        <f>DETAIL!N36</f>
        <v>0.1391</v>
      </c>
      <c r="M13" s="70">
        <f>DETAIL!N37</f>
        <v>0.1304</v>
      </c>
    </row>
    <row r="14" spans="1:13" ht="15">
      <c r="A14" s="71"/>
      <c r="B14" s="72"/>
      <c r="C14" s="73"/>
      <c r="D14" s="73"/>
      <c r="E14" s="74"/>
      <c r="F14" s="74"/>
      <c r="G14" s="74"/>
      <c r="H14" s="74"/>
      <c r="I14" s="74"/>
      <c r="J14" s="74"/>
      <c r="K14" s="74"/>
      <c r="L14" s="74"/>
      <c r="M14" s="75"/>
    </row>
    <row r="15" spans="1:13" ht="15">
      <c r="A15" s="66" t="s">
        <v>50</v>
      </c>
      <c r="B15" s="67">
        <v>1200</v>
      </c>
      <c r="C15" s="68">
        <v>0</v>
      </c>
      <c r="D15" s="68">
        <v>0.49</v>
      </c>
      <c r="E15" s="69">
        <f>DETAIL!N48</f>
        <v>0.6632</v>
      </c>
      <c r="F15" s="69">
        <f>DETAIL!N40</f>
        <v>1.7537</v>
      </c>
      <c r="G15" s="69">
        <f>DETAIL!N41</f>
        <v>0.8645</v>
      </c>
      <c r="H15" s="69">
        <f>DETAIL!N42</f>
        <v>0.5077</v>
      </c>
      <c r="I15" s="69">
        <f>DETAIL!N43</f>
        <v>0.3486</v>
      </c>
      <c r="J15" s="69">
        <f>DETAIL!N44</f>
        <v>0.2383</v>
      </c>
      <c r="K15" s="69">
        <f>DETAIL!N45</f>
        <v>0.1762</v>
      </c>
      <c r="L15" s="69">
        <f>DETAIL!N46</f>
        <v>0.1409</v>
      </c>
      <c r="M15" s="70">
        <f>DETAIL!N47</f>
        <v>0.1313</v>
      </c>
    </row>
    <row r="16" spans="1:13" ht="15">
      <c r="A16" s="71"/>
      <c r="B16" s="72"/>
      <c r="C16" s="73"/>
      <c r="D16" s="73"/>
      <c r="E16" s="74"/>
      <c r="F16" s="74"/>
      <c r="G16" s="74"/>
      <c r="H16" s="74"/>
      <c r="I16" s="74"/>
      <c r="J16" s="74"/>
      <c r="K16" s="74"/>
      <c r="L16" s="74"/>
      <c r="M16" s="75"/>
    </row>
    <row r="17" spans="1:13" ht="15">
      <c r="A17" s="76" t="s">
        <v>27</v>
      </c>
      <c r="B17" s="77">
        <v>500</v>
      </c>
      <c r="C17" s="78">
        <v>3.1</v>
      </c>
      <c r="D17" s="78">
        <v>6</v>
      </c>
      <c r="E17" s="79">
        <f>DETAIL!N58</f>
        <v>0.6556</v>
      </c>
      <c r="F17" s="79">
        <f>DETAIL!N50</f>
        <v>1.7235</v>
      </c>
      <c r="G17" s="79">
        <f>DETAIL!N51</f>
        <v>0.8493</v>
      </c>
      <c r="H17" s="79">
        <f>DETAIL!N52</f>
        <v>0.5002</v>
      </c>
      <c r="I17" s="79">
        <f>DETAIL!N53</f>
        <v>0.3448</v>
      </c>
      <c r="J17" s="79">
        <f>DETAIL!N54</f>
        <v>0.2355</v>
      </c>
      <c r="K17" s="79">
        <f>DETAIL!N55</f>
        <v>0.1738</v>
      </c>
      <c r="L17" s="79">
        <f>DETAIL!N56</f>
        <v>0.139</v>
      </c>
      <c r="M17" s="80">
        <f>DETAIL!N57</f>
        <v>0.1304</v>
      </c>
    </row>
    <row r="18" spans="1:13" ht="15">
      <c r="A18" s="76" t="s">
        <v>51</v>
      </c>
      <c r="B18" s="77">
        <v>600</v>
      </c>
      <c r="C18" s="78">
        <v>0</v>
      </c>
      <c r="D18" s="78">
        <v>3.09</v>
      </c>
      <c r="E18" s="79">
        <f>DETAIL!N68</f>
        <v>0.6556</v>
      </c>
      <c r="F18" s="79">
        <f>DETAIL!N60</f>
        <v>1.7235</v>
      </c>
      <c r="G18" s="79">
        <f>DETAIL!N61</f>
        <v>0.8493</v>
      </c>
      <c r="H18" s="79">
        <f>DETAIL!N62</f>
        <v>0.5002</v>
      </c>
      <c r="I18" s="79">
        <f>DETAIL!N63</f>
        <v>0.3448</v>
      </c>
      <c r="J18" s="79">
        <f>DETAIL!N64</f>
        <v>0.2355</v>
      </c>
      <c r="K18" s="79">
        <f>DETAIL!N65</f>
        <v>0.1738</v>
      </c>
      <c r="L18" s="79">
        <f>DETAIL!N66</f>
        <v>0.139</v>
      </c>
      <c r="M18" s="80">
        <f>DETAIL!N67</f>
        <v>0.1304</v>
      </c>
    </row>
    <row r="19" spans="1:13" ht="15">
      <c r="A19" s="66" t="s">
        <v>166</v>
      </c>
      <c r="B19" s="67">
        <v>700</v>
      </c>
      <c r="C19" s="68"/>
      <c r="D19" s="68"/>
      <c r="E19" s="69">
        <f>DETAIL!N78</f>
        <v>0.6556</v>
      </c>
      <c r="F19" s="69">
        <f>DETAIL!N70</f>
        <v>1.7235</v>
      </c>
      <c r="G19" s="69">
        <f>DETAIL!N71</f>
        <v>0.8493</v>
      </c>
      <c r="H19" s="69">
        <f>DETAIL!N72</f>
        <v>0.5002</v>
      </c>
      <c r="I19" s="69">
        <f>DETAIL!N73</f>
        <v>0.3448</v>
      </c>
      <c r="J19" s="69">
        <f>DETAIL!N74</f>
        <v>0.2355</v>
      </c>
      <c r="K19" s="69">
        <f>DETAIL!N75</f>
        <v>0.1738</v>
      </c>
      <c r="L19" s="69">
        <f>DETAIL!N76</f>
        <v>0.139</v>
      </c>
      <c r="M19" s="70">
        <f>DETAIL!N77</f>
        <v>0.1304</v>
      </c>
    </row>
    <row r="20" spans="1:13" ht="15">
      <c r="A20" s="76"/>
      <c r="B20" s="77"/>
      <c r="C20" s="78"/>
      <c r="D20" s="78"/>
      <c r="E20" s="79"/>
      <c r="F20" s="79"/>
      <c r="G20" s="79"/>
      <c r="H20" s="79"/>
      <c r="I20" s="79"/>
      <c r="J20" s="79"/>
      <c r="K20" s="79"/>
      <c r="L20" s="79"/>
      <c r="M20" s="80"/>
    </row>
    <row r="21" spans="1:13" ht="15">
      <c r="A21" s="76" t="s">
        <v>29</v>
      </c>
      <c r="B21" s="77">
        <v>1000</v>
      </c>
      <c r="C21" s="78">
        <v>0</v>
      </c>
      <c r="D21" s="78">
        <v>6</v>
      </c>
      <c r="E21" s="79">
        <f>DETAIL!N88</f>
        <v>0.7648</v>
      </c>
      <c r="F21" s="79">
        <f>DETAIL!N80</f>
        <v>2.1606</v>
      </c>
      <c r="G21" s="79">
        <f>DETAIL!N81</f>
        <v>1.0679</v>
      </c>
      <c r="H21" s="79">
        <f>DETAIL!N82</f>
        <v>0.6094</v>
      </c>
      <c r="I21" s="79">
        <f>DETAIL!N83</f>
        <v>0.3995</v>
      </c>
      <c r="J21" s="79">
        <f>DETAIL!N84</f>
        <v>0.2764</v>
      </c>
      <c r="K21" s="79">
        <f>DETAIL!N85</f>
        <v>0.208</v>
      </c>
      <c r="L21" s="79">
        <f>DETAIL!N86</f>
        <v>0.1664</v>
      </c>
      <c r="M21" s="80">
        <f>DETAIL!N87</f>
        <v>0.144</v>
      </c>
    </row>
    <row r="22" spans="1:13" ht="15">
      <c r="A22" s="66" t="s">
        <v>155</v>
      </c>
      <c r="B22" s="67">
        <v>510</v>
      </c>
      <c r="C22" s="68">
        <v>0</v>
      </c>
      <c r="D22" s="68">
        <v>17.99</v>
      </c>
      <c r="E22" s="69">
        <f>DETAIL!N98</f>
        <v>1.3414</v>
      </c>
      <c r="F22" s="69">
        <f>DETAIL!N90</f>
        <v>4.4667</v>
      </c>
      <c r="G22" s="69">
        <f>DETAIL!N91</f>
        <v>2.2209</v>
      </c>
      <c r="H22" s="69">
        <f>DETAIL!N92</f>
        <v>1.186</v>
      </c>
      <c r="I22" s="69">
        <f>DETAIL!N93</f>
        <v>0.6877</v>
      </c>
      <c r="J22" s="69">
        <f>DETAIL!N94</f>
        <v>0.4926</v>
      </c>
      <c r="K22" s="69">
        <f>DETAIL!N95</f>
        <v>0.3881</v>
      </c>
      <c r="L22" s="69">
        <f>DETAIL!N96</f>
        <v>0.3105</v>
      </c>
      <c r="M22" s="70">
        <f>DETAIL!N97</f>
        <v>0.2161</v>
      </c>
    </row>
    <row r="23" spans="1:13" ht="15">
      <c r="A23" s="71"/>
      <c r="B23" s="72"/>
      <c r="C23" s="73"/>
      <c r="D23" s="73"/>
      <c r="E23" s="74"/>
      <c r="F23" s="74"/>
      <c r="G23" s="74"/>
      <c r="H23" s="74"/>
      <c r="I23" s="74"/>
      <c r="J23" s="74"/>
      <c r="K23" s="74"/>
      <c r="L23" s="74"/>
      <c r="M23" s="75"/>
    </row>
    <row r="24" spans="1:13" ht="15">
      <c r="A24" s="66" t="s">
        <v>112</v>
      </c>
      <c r="B24" s="67">
        <v>1500</v>
      </c>
      <c r="C24" s="68">
        <v>6.01</v>
      </c>
      <c r="D24" s="68">
        <v>17.99</v>
      </c>
      <c r="E24" s="69">
        <f>DETAIL!N107</f>
        <v>0.8612</v>
      </c>
      <c r="F24" s="69"/>
      <c r="G24" s="69">
        <f>DETAIL!N100</f>
        <v>1.2605</v>
      </c>
      <c r="H24" s="69">
        <f>DETAIL!N101</f>
        <v>0.7058</v>
      </c>
      <c r="I24" s="69">
        <f>DETAIL!N102</f>
        <v>0.4476</v>
      </c>
      <c r="J24" s="69">
        <f>DETAIL!N103</f>
        <v>0.3126</v>
      </c>
      <c r="K24" s="69">
        <f>DETAIL!N104</f>
        <v>0.2381</v>
      </c>
      <c r="L24" s="69">
        <f>DETAIL!N105</f>
        <v>0.1904</v>
      </c>
      <c r="M24" s="70">
        <f>DETAIL!N106</f>
        <v>0.1561</v>
      </c>
    </row>
    <row r="25" spans="1:13" ht="15">
      <c r="A25" s="71"/>
      <c r="B25" s="72"/>
      <c r="C25" s="73"/>
      <c r="D25" s="73"/>
      <c r="E25" s="74"/>
      <c r="F25" s="74"/>
      <c r="G25" s="74"/>
      <c r="H25" s="74"/>
      <c r="I25" s="74"/>
      <c r="J25" s="74"/>
      <c r="K25" s="74"/>
      <c r="L25" s="74"/>
      <c r="M25" s="75"/>
    </row>
    <row r="26" spans="1:13" ht="15">
      <c r="A26" s="76" t="s">
        <v>72</v>
      </c>
      <c r="B26" s="77">
        <v>1700</v>
      </c>
      <c r="C26" s="78">
        <v>18</v>
      </c>
      <c r="D26" s="78">
        <v>29.99</v>
      </c>
      <c r="E26" s="79">
        <f>DETAIL!N119</f>
        <v>0.8627</v>
      </c>
      <c r="F26" s="79"/>
      <c r="G26" s="79">
        <f>DETAIL!N112</f>
        <v>1.2636</v>
      </c>
      <c r="H26" s="79">
        <f>DETAIL!N113</f>
        <v>0.7073</v>
      </c>
      <c r="I26" s="79">
        <f>DETAIL!N114</f>
        <v>0.4485</v>
      </c>
      <c r="J26" s="79">
        <f>DETAIL!N115</f>
        <v>0.3131</v>
      </c>
      <c r="K26" s="79">
        <f>DETAIL!N116</f>
        <v>0.2386</v>
      </c>
      <c r="L26" s="79">
        <f>DETAIL!N117</f>
        <v>0.1908</v>
      </c>
      <c r="M26" s="80">
        <f>DETAIL!N118</f>
        <v>0.1562</v>
      </c>
    </row>
    <row r="27" spans="1:16" ht="15">
      <c r="A27" s="76" t="s">
        <v>54</v>
      </c>
      <c r="B27" s="77">
        <v>1800</v>
      </c>
      <c r="C27" s="78">
        <v>30</v>
      </c>
      <c r="D27" s="78">
        <v>35.99</v>
      </c>
      <c r="E27" s="79">
        <f>DETAIL!N128</f>
        <v>0.8627</v>
      </c>
      <c r="F27" s="79"/>
      <c r="G27" s="79">
        <f>DETAIL!N121</f>
        <v>1.2636</v>
      </c>
      <c r="H27" s="79">
        <f>DETAIL!N122</f>
        <v>0.7073</v>
      </c>
      <c r="I27" s="79">
        <f>DETAIL!N123</f>
        <v>0.4485</v>
      </c>
      <c r="J27" s="79">
        <f>DETAIL!N124</f>
        <v>0.3131</v>
      </c>
      <c r="K27" s="79">
        <f>DETAIL!N125</f>
        <v>0.2386</v>
      </c>
      <c r="L27" s="79">
        <f>DETAIL!N126</f>
        <v>0.1908</v>
      </c>
      <c r="M27" s="80">
        <f>DETAIL!N127</f>
        <v>0.1562</v>
      </c>
      <c r="P27" s="174"/>
    </row>
    <row r="28" spans="1:13" ht="15">
      <c r="A28" s="66" t="s">
        <v>55</v>
      </c>
      <c r="B28" s="67">
        <v>1900</v>
      </c>
      <c r="C28" s="68">
        <v>36</v>
      </c>
      <c r="D28" s="68">
        <v>50</v>
      </c>
      <c r="E28" s="69">
        <f>DETAIL!N137</f>
        <v>0.8627</v>
      </c>
      <c r="F28" s="69"/>
      <c r="G28" s="69">
        <f>DETAIL!N130</f>
        <v>1.2636</v>
      </c>
      <c r="H28" s="69">
        <f>DETAIL!N131</f>
        <v>0.7073</v>
      </c>
      <c r="I28" s="69">
        <f>DETAIL!N132</f>
        <v>0.4485</v>
      </c>
      <c r="J28" s="69">
        <f>DETAIL!N133</f>
        <v>0.3131</v>
      </c>
      <c r="K28" s="69">
        <f>DETAIL!N134</f>
        <v>0.2386</v>
      </c>
      <c r="L28" s="69">
        <f>DETAIL!N135</f>
        <v>0.1908</v>
      </c>
      <c r="M28" s="70">
        <f>DETAIL!N136</f>
        <v>0.1562</v>
      </c>
    </row>
    <row r="29" spans="1:13" ht="15">
      <c r="A29" s="71"/>
      <c r="B29" s="72"/>
      <c r="C29" s="73"/>
      <c r="D29" s="73"/>
      <c r="E29" s="175" t="str">
        <f>FIXED(E30/2.1275,4)&amp;" /LB."</f>
        <v>0.6088 /LB.</v>
      </c>
      <c r="F29" s="74"/>
      <c r="G29" s="74"/>
      <c r="H29" s="74"/>
      <c r="I29" s="74"/>
      <c r="J29" s="74"/>
      <c r="K29" s="74"/>
      <c r="L29" s="74"/>
      <c r="M29" s="75"/>
    </row>
    <row r="30" spans="1:13" ht="15.75" thickBot="1">
      <c r="A30" s="81" t="s">
        <v>73</v>
      </c>
      <c r="B30" s="82">
        <v>1600</v>
      </c>
      <c r="C30" s="83">
        <v>0</v>
      </c>
      <c r="D30" s="83">
        <v>29.99</v>
      </c>
      <c r="E30" s="173">
        <f>DETAIL!N146</f>
        <v>1.2952</v>
      </c>
      <c r="F30" s="84"/>
      <c r="G30" s="84">
        <f>DETAIL!N139</f>
        <v>2.2815</v>
      </c>
      <c r="H30" s="84">
        <f>DETAIL!N140</f>
        <v>1.2162</v>
      </c>
      <c r="I30" s="84">
        <f>DETAIL!N141</f>
        <v>0.7029</v>
      </c>
      <c r="J30" s="84">
        <f>DETAIL!N142</f>
        <v>0.4387</v>
      </c>
      <c r="K30" s="84">
        <f>DETAIL!N143</f>
        <v>0.3656</v>
      </c>
      <c r="L30" s="84">
        <f>DETAIL!N144</f>
        <v>0.3181</v>
      </c>
      <c r="M30" s="85">
        <f>DETAIL!N145</f>
        <v>0.1855</v>
      </c>
    </row>
    <row r="31" spans="1:13" ht="15.75" thickTop="1">
      <c r="A31" s="86" t="s">
        <v>113</v>
      </c>
      <c r="B31" s="86"/>
      <c r="C31" s="86"/>
      <c r="D31" s="86"/>
      <c r="E31" s="86"/>
      <c r="F31" s="86"/>
      <c r="G31" s="86"/>
      <c r="H31" s="87"/>
      <c r="I31" s="88"/>
      <c r="J31" s="88"/>
      <c r="K31" s="86"/>
      <c r="L31" s="86"/>
      <c r="M31" s="86"/>
    </row>
    <row r="32" spans="1:13" ht="15">
      <c r="A32" s="86" t="s">
        <v>114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</row>
    <row r="33" spans="1:13" ht="15">
      <c r="A33" s="86" t="s">
        <v>115</v>
      </c>
      <c r="B33" s="86" t="s">
        <v>116</v>
      </c>
      <c r="C33" s="89">
        <f>DETAIL!N108</f>
        <v>0.0159</v>
      </c>
      <c r="D33" s="86"/>
      <c r="E33" s="86" t="s">
        <v>117</v>
      </c>
      <c r="F33" s="89">
        <f>DETAIL!N109</f>
        <v>0.0214</v>
      </c>
      <c r="G33" s="86"/>
      <c r="H33" s="86" t="s">
        <v>118</v>
      </c>
      <c r="I33" s="89">
        <f>DETAIL!N110</f>
        <v>0.0319</v>
      </c>
      <c r="J33" s="89"/>
      <c r="K33" s="86"/>
      <c r="L33" s="86"/>
      <c r="M33" s="86"/>
    </row>
    <row r="34" spans="1:13" ht="15">
      <c r="A34" s="86" t="s">
        <v>119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</row>
    <row r="35" spans="1:13" ht="13.5" customHeight="1" hidden="1">
      <c r="A35" s="86" t="s">
        <v>149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</row>
    <row r="36" spans="1:13" ht="13.5" customHeight="1">
      <c r="A36" s="287">
        <f>INPUT!B22</f>
        <v>0</v>
      </c>
      <c r="B36" s="287"/>
      <c r="C36" s="287"/>
      <c r="D36" s="287"/>
      <c r="E36" s="287"/>
      <c r="F36" s="86"/>
      <c r="G36" s="86"/>
      <c r="H36" s="86"/>
      <c r="I36" s="86"/>
      <c r="J36" s="86"/>
      <c r="K36" s="86"/>
      <c r="L36" s="86"/>
      <c r="M36" s="86"/>
    </row>
    <row r="37" spans="1:13" ht="15">
      <c r="A37" s="86"/>
      <c r="B37" s="86"/>
      <c r="C37" s="89"/>
      <c r="D37" s="86"/>
      <c r="E37" s="86"/>
      <c r="F37" s="86"/>
      <c r="G37" s="86"/>
      <c r="H37" s="86"/>
      <c r="I37" s="86"/>
      <c r="J37" s="86"/>
      <c r="K37" s="86"/>
      <c r="L37" s="86"/>
      <c r="M37" s="86"/>
    </row>
    <row r="38" spans="1:13" ht="34.5">
      <c r="A38" s="47" t="s">
        <v>94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spans="1:13" ht="18">
      <c r="A39" s="48" t="s">
        <v>39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 ht="18">
      <c r="A40" s="48" t="s">
        <v>95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1:13" ht="18">
      <c r="A41" s="48" t="s">
        <v>120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spans="1:13" ht="18">
      <c r="A42" s="48" t="s">
        <v>121</v>
      </c>
      <c r="B42" s="30"/>
      <c r="C42" s="30"/>
      <c r="D42" s="30"/>
      <c r="E42" s="30"/>
      <c r="F42" s="120"/>
      <c r="G42" s="30"/>
      <c r="H42" s="30"/>
      <c r="I42" s="30"/>
      <c r="J42" s="30"/>
      <c r="K42" s="30"/>
      <c r="L42" s="30"/>
      <c r="M42" s="30"/>
    </row>
    <row r="43" spans="1:13" ht="33.75" thickBot="1">
      <c r="A43" s="150">
        <f>INPUT!$B$3</f>
        <v>0</v>
      </c>
      <c r="B43" s="41"/>
      <c r="C43" s="41" t="s">
        <v>122</v>
      </c>
      <c r="D43" s="286"/>
      <c r="E43" s="286"/>
      <c r="F43" s="122"/>
      <c r="G43" s="121"/>
      <c r="H43" s="41"/>
      <c r="K43" s="49" t="str">
        <f>K6</f>
        <v>OGO A-963 (CRO-14)</v>
      </c>
      <c r="L43" s="41"/>
      <c r="M43" s="41"/>
    </row>
    <row r="44" spans="1:13" ht="16.5" thickBot="1" thickTop="1">
      <c r="A44" s="50"/>
      <c r="B44" s="50"/>
      <c r="C44" s="51" t="s">
        <v>96</v>
      </c>
      <c r="D44" s="52"/>
      <c r="E44" s="53" t="s">
        <v>97</v>
      </c>
      <c r="F44" s="54" t="s">
        <v>98</v>
      </c>
      <c r="G44" s="55"/>
      <c r="H44" s="55"/>
      <c r="I44" s="55"/>
      <c r="J44" s="55"/>
      <c r="K44" s="55"/>
      <c r="L44" s="55"/>
      <c r="M44" s="56"/>
    </row>
    <row r="45" spans="1:13" ht="16.5" thickBot="1" thickTop="1">
      <c r="A45" s="57"/>
      <c r="B45" s="57" t="s">
        <v>99</v>
      </c>
      <c r="C45" s="58" t="s">
        <v>123</v>
      </c>
      <c r="D45" s="59"/>
      <c r="E45" s="60" t="s">
        <v>101</v>
      </c>
      <c r="F45" s="53" t="s">
        <v>171</v>
      </c>
      <c r="G45" s="53" t="s">
        <v>102</v>
      </c>
      <c r="H45" s="53"/>
      <c r="I45" s="53"/>
      <c r="J45" s="53"/>
      <c r="K45" s="53"/>
      <c r="L45" s="60" t="s">
        <v>103</v>
      </c>
      <c r="M45" s="53"/>
    </row>
    <row r="46" spans="1:13" ht="16.5" thickBot="1" thickTop="1">
      <c r="A46" s="61" t="str">
        <f>A9</f>
        <v>DESCRIPTION</v>
      </c>
      <c r="B46" s="57" t="s">
        <v>105</v>
      </c>
      <c r="C46" s="62" t="s">
        <v>106</v>
      </c>
      <c r="D46" s="62" t="s">
        <v>107</v>
      </c>
      <c r="E46" s="62" t="s">
        <v>108</v>
      </c>
      <c r="F46" s="62" t="s">
        <v>172</v>
      </c>
      <c r="G46" s="62" t="s">
        <v>109</v>
      </c>
      <c r="H46" s="62" t="s">
        <v>16</v>
      </c>
      <c r="I46" s="62" t="s">
        <v>17</v>
      </c>
      <c r="J46" s="62" t="s">
        <v>162</v>
      </c>
      <c r="K46" s="62" t="s">
        <v>163</v>
      </c>
      <c r="L46" s="195" t="s">
        <v>158</v>
      </c>
      <c r="M46" s="62" t="s">
        <v>110</v>
      </c>
    </row>
    <row r="47" spans="1:13" ht="15.75" thickTop="1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5"/>
    </row>
    <row r="48" spans="1:13" ht="15">
      <c r="A48" s="76" t="str">
        <f>A11</f>
        <v>STANDARD MILK</v>
      </c>
      <c r="B48" s="77">
        <v>400</v>
      </c>
      <c r="C48" s="78">
        <f aca="true" t="shared" si="0" ref="C48:D50">C11</f>
        <v>3.1</v>
      </c>
      <c r="D48" s="78">
        <f t="shared" si="0"/>
        <v>6</v>
      </c>
      <c r="E48" s="78">
        <f>DETAIL!$P$18</f>
        <v>0.57</v>
      </c>
      <c r="F48" s="78">
        <f>DETAIL!$P$10</f>
        <v>1.35</v>
      </c>
      <c r="G48" s="78">
        <f>DETAIL!$P$11</f>
        <v>0.66</v>
      </c>
      <c r="H48" s="78">
        <f>DETAIL!$P$12</f>
        <v>0.41</v>
      </c>
      <c r="I48" s="78">
        <f>DETAIL!$P$13</f>
        <v>0.3</v>
      </c>
      <c r="J48" s="78">
        <f>DETAIL!$P$14</f>
        <v>0.25</v>
      </c>
      <c r="K48" s="78">
        <f>DETAIL!$P$15</f>
        <v>0.18</v>
      </c>
      <c r="L48" s="78">
        <f>DETAIL!$P$16</f>
        <v>0.15</v>
      </c>
      <c r="M48" s="125">
        <f>DETAIL!$P$17</f>
        <v>0.14</v>
      </c>
    </row>
    <row r="49" spans="1:13" ht="15">
      <c r="A49" s="76" t="str">
        <f>A12</f>
        <v>REDUCED FAT MILK, 2% MILKFAT</v>
      </c>
      <c r="B49" s="77">
        <v>800</v>
      </c>
      <c r="C49" s="78">
        <f t="shared" si="0"/>
        <v>1.5</v>
      </c>
      <c r="D49" s="78">
        <f t="shared" si="0"/>
        <v>3.09</v>
      </c>
      <c r="E49" s="78">
        <f>DETAIL!$P$28</f>
        <v>0.57</v>
      </c>
      <c r="F49" s="78">
        <f>DETAIL!$P$20</f>
        <v>1.35</v>
      </c>
      <c r="G49" s="78">
        <f>DETAIL!$P$21</f>
        <v>0.66</v>
      </c>
      <c r="H49" s="78">
        <f>DETAIL!$P$22</f>
        <v>0.41</v>
      </c>
      <c r="I49" s="78">
        <f>DETAIL!$P$23</f>
        <v>0.3</v>
      </c>
      <c r="J49" s="78">
        <f>DETAIL!$P$24</f>
        <v>0.25</v>
      </c>
      <c r="K49" s="78">
        <f>DETAIL!$P$25</f>
        <v>0.18</v>
      </c>
      <c r="L49" s="78">
        <f>DETAIL!$P$26</f>
        <v>0.15</v>
      </c>
      <c r="M49" s="125">
        <f>DETAIL!$P$27</f>
        <v>0.14</v>
      </c>
    </row>
    <row r="50" spans="1:13" ht="15">
      <c r="A50" s="66" t="str">
        <f>A13</f>
        <v>LOWFAT MILK, 1% MILKFAT</v>
      </c>
      <c r="B50" s="67">
        <v>900</v>
      </c>
      <c r="C50" s="68">
        <f t="shared" si="0"/>
        <v>0.5</v>
      </c>
      <c r="D50" s="68">
        <f t="shared" si="0"/>
        <v>1.49</v>
      </c>
      <c r="E50" s="68">
        <f>DETAIL!$P$38</f>
        <v>0.57</v>
      </c>
      <c r="F50" s="68">
        <f>DETAIL!$P$30</f>
        <v>1.35</v>
      </c>
      <c r="G50" s="68">
        <f>DETAIL!$P$31</f>
        <v>0.66</v>
      </c>
      <c r="H50" s="68">
        <f>DETAIL!$P$32</f>
        <v>0.41</v>
      </c>
      <c r="I50" s="68">
        <f>DETAIL!$P$33</f>
        <v>0.3</v>
      </c>
      <c r="J50" s="68">
        <f>DETAIL!$P$34</f>
        <v>0.25</v>
      </c>
      <c r="K50" s="68">
        <f>DETAIL!$P$35</f>
        <v>0.18</v>
      </c>
      <c r="L50" s="68">
        <f>DETAIL!$P$36</f>
        <v>0.15</v>
      </c>
      <c r="M50" s="123">
        <f>DETAIL!$P$37</f>
        <v>0.14</v>
      </c>
    </row>
    <row r="51" spans="1:13" ht="15">
      <c r="A51" s="71"/>
      <c r="B51" s="72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124"/>
    </row>
    <row r="52" spans="1:13" ht="15">
      <c r="A52" s="66" t="str">
        <f>A15</f>
        <v>NONFAT MILK</v>
      </c>
      <c r="B52" s="67">
        <v>1200</v>
      </c>
      <c r="C52" s="68">
        <f>C15</f>
        <v>0</v>
      </c>
      <c r="D52" s="68">
        <f>D15</f>
        <v>0.49</v>
      </c>
      <c r="E52" s="68">
        <f>DETAIL!$P$48</f>
        <v>0.58</v>
      </c>
      <c r="F52" s="68">
        <f>DETAIL!$P$40</f>
        <v>1.38</v>
      </c>
      <c r="G52" s="68">
        <f>DETAIL!$P$41</f>
        <v>0.68</v>
      </c>
      <c r="H52" s="68">
        <f>DETAIL!$P$42</f>
        <v>0.42</v>
      </c>
      <c r="I52" s="68">
        <f>DETAIL!$P$43</f>
        <v>0.31</v>
      </c>
      <c r="J52" s="68">
        <f>DETAIL!$P$44</f>
        <v>0.25</v>
      </c>
      <c r="K52" s="68">
        <f>DETAIL!$P$45</f>
        <v>0.19</v>
      </c>
      <c r="L52" s="68">
        <f>DETAIL!$P$46</f>
        <v>0.15</v>
      </c>
      <c r="M52" s="123">
        <f>DETAIL!$P$47</f>
        <v>0.14</v>
      </c>
    </row>
    <row r="53" spans="1:13" ht="15">
      <c r="A53" s="71"/>
      <c r="B53" s="72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124"/>
    </row>
    <row r="54" spans="1:13" ht="15">
      <c r="A54" s="76" t="str">
        <f>A17</f>
        <v>FLAVORED MILK</v>
      </c>
      <c r="B54" s="77">
        <v>500</v>
      </c>
      <c r="C54" s="78">
        <f>C17</f>
        <v>3.1</v>
      </c>
      <c r="D54" s="78">
        <f>D17</f>
        <v>6</v>
      </c>
      <c r="E54" s="78">
        <f>DETAIL!$P$58</f>
        <v>0.57</v>
      </c>
      <c r="F54" s="78">
        <f>DETAIL!$P$50</f>
        <v>1.35</v>
      </c>
      <c r="G54" s="78">
        <f>DETAIL!$P$51</f>
        <v>0.66</v>
      </c>
      <c r="H54" s="78">
        <f>DETAIL!$P$52</f>
        <v>0.41</v>
      </c>
      <c r="I54" s="78">
        <f>DETAIL!$P$53</f>
        <v>0.3</v>
      </c>
      <c r="J54" s="78">
        <f>DETAIL!$P$54</f>
        <v>0.25</v>
      </c>
      <c r="K54" s="78">
        <f>DETAIL!$P$55</f>
        <v>0.18</v>
      </c>
      <c r="L54" s="78">
        <f>DETAIL!$P$56</f>
        <v>0.15</v>
      </c>
      <c r="M54" s="125">
        <f>DETAIL!$P$57</f>
        <v>0.14</v>
      </c>
    </row>
    <row r="55" spans="1:13" ht="15">
      <c r="A55" s="76" t="str">
        <f>A18</f>
        <v>FLAVORED REDUCED FAT MILK</v>
      </c>
      <c r="B55" s="77">
        <v>600</v>
      </c>
      <c r="C55" s="78">
        <v>0.5</v>
      </c>
      <c r="D55" s="78">
        <f>D18</f>
        <v>3.09</v>
      </c>
      <c r="E55" s="78">
        <f>DETAIL!$P$68</f>
        <v>0.57</v>
      </c>
      <c r="F55" s="78">
        <f>DETAIL!$P$60</f>
        <v>1.35</v>
      </c>
      <c r="G55" s="78">
        <f>DETAIL!$P$61</f>
        <v>0.66</v>
      </c>
      <c r="H55" s="78">
        <f>DETAIL!$P$62</f>
        <v>0.41</v>
      </c>
      <c r="I55" s="78">
        <f>DETAIL!$P$63</f>
        <v>0.3</v>
      </c>
      <c r="J55" s="78">
        <f>DETAIL!$P$64</f>
        <v>0.25</v>
      </c>
      <c r="K55" s="78">
        <f>DETAIL!$P$65</f>
        <v>0.18</v>
      </c>
      <c r="L55" s="78">
        <f>DETAIL!$P$66</f>
        <v>0.15</v>
      </c>
      <c r="M55" s="125">
        <f>DETAIL!$P$67</f>
        <v>0.14</v>
      </c>
    </row>
    <row r="56" spans="1:13" ht="15">
      <c r="A56" s="66" t="str">
        <f>A19</f>
        <v>FLAVORED NONFAT MILK</v>
      </c>
      <c r="B56" s="67">
        <v>700</v>
      </c>
      <c r="C56" s="68"/>
      <c r="D56" s="68"/>
      <c r="E56" s="68">
        <f>DETAIL!$P$78</f>
        <v>0.57</v>
      </c>
      <c r="F56" s="68">
        <f>DETAIL!$P$70</f>
        <v>1.35</v>
      </c>
      <c r="G56" s="68">
        <f>DETAIL!$P$71</f>
        <v>0.66</v>
      </c>
      <c r="H56" s="68">
        <f>DETAIL!$P$72</f>
        <v>0.41</v>
      </c>
      <c r="I56" s="68">
        <f>DETAIL!$P$73</f>
        <v>0.3</v>
      </c>
      <c r="J56" s="68">
        <f>DETAIL!$P$74</f>
        <v>0.25</v>
      </c>
      <c r="K56" s="68">
        <f>DETAIL!$P$75</f>
        <v>0.18</v>
      </c>
      <c r="L56" s="68">
        <f>DETAIL!$P$76</f>
        <v>0.15</v>
      </c>
      <c r="M56" s="123">
        <f>DETAIL!$P$77</f>
        <v>0.14</v>
      </c>
    </row>
    <row r="57" spans="1:13" ht="15">
      <c r="A57" s="76"/>
      <c r="B57" s="77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125"/>
    </row>
    <row r="58" spans="1:13" ht="15">
      <c r="A58" s="76" t="str">
        <f>A21</f>
        <v>BUTTERMILK</v>
      </c>
      <c r="B58" s="77">
        <v>1000</v>
      </c>
      <c r="C58" s="78">
        <f>C21</f>
        <v>0</v>
      </c>
      <c r="D58" s="78">
        <f>D21</f>
        <v>6</v>
      </c>
      <c r="E58" s="78">
        <f>DETAIL!$P$88</f>
        <v>0.68</v>
      </c>
      <c r="F58" s="78">
        <f>DETAIL!$P$80</f>
        <v>1.8</v>
      </c>
      <c r="G58" s="78">
        <f>DETAIL!$P$81</f>
        <v>0.89</v>
      </c>
      <c r="H58" s="78">
        <f>DETAIL!$P$82</f>
        <v>0.52</v>
      </c>
      <c r="I58" s="78">
        <f>DETAIL!$P$83</f>
        <v>0.36</v>
      </c>
      <c r="J58" s="78">
        <f>DETAIL!$P$84</f>
        <v>0.29</v>
      </c>
      <c r="K58" s="78">
        <f>DETAIL!$P$85</f>
        <v>0.22</v>
      </c>
      <c r="L58" s="78">
        <f>DETAIL!$P$86</f>
        <v>0.18</v>
      </c>
      <c r="M58" s="125">
        <f>DETAIL!$P$87</f>
        <v>0.15</v>
      </c>
    </row>
    <row r="59" spans="1:13" ht="15">
      <c r="A59" s="66" t="s">
        <v>155</v>
      </c>
      <c r="B59" s="67">
        <v>510</v>
      </c>
      <c r="C59" s="68">
        <v>0</v>
      </c>
      <c r="D59" s="68">
        <v>17.99</v>
      </c>
      <c r="E59" s="68">
        <f>DETAIL!P98</f>
        <v>1.27</v>
      </c>
      <c r="F59" s="68">
        <f>DETAIL!P90</f>
        <v>4.17</v>
      </c>
      <c r="G59" s="68">
        <f>DETAIL!P91</f>
        <v>2.07</v>
      </c>
      <c r="H59" s="68">
        <f>DETAIL!P92</f>
        <v>1.11</v>
      </c>
      <c r="I59" s="68">
        <f>DETAIL!P93</f>
        <v>0.65</v>
      </c>
      <c r="J59" s="68">
        <f>DETAIL!P94</f>
        <v>0.5</v>
      </c>
      <c r="K59" s="68">
        <f>DETAIL!P95</f>
        <v>0.4</v>
      </c>
      <c r="L59" s="68">
        <f>DETAIL!P96</f>
        <v>0.32</v>
      </c>
      <c r="M59" s="123">
        <f>DETAIL!P97</f>
        <v>0.23</v>
      </c>
    </row>
    <row r="60" spans="1:13" ht="15">
      <c r="A60" s="71"/>
      <c r="B60" s="72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124"/>
    </row>
    <row r="61" spans="1:13" ht="15">
      <c r="A61" s="66" t="str">
        <f>A24</f>
        <v>MIXED MILK /3/</v>
      </c>
      <c r="B61" s="67">
        <v>1500</v>
      </c>
      <c r="C61" s="68">
        <f>C24</f>
        <v>6.01</v>
      </c>
      <c r="D61" s="68">
        <f>D24</f>
        <v>17.99</v>
      </c>
      <c r="E61" s="68">
        <f>DETAIL!$P$107</f>
        <v>0.78</v>
      </c>
      <c r="F61" s="68"/>
      <c r="G61" s="68">
        <f>DETAIL!$P$100</f>
        <v>1.09</v>
      </c>
      <c r="H61" s="68">
        <f>DETAIL!$P$101</f>
        <v>0.62</v>
      </c>
      <c r="I61" s="68">
        <f>DETAIL!$P$102</f>
        <v>0.41</v>
      </c>
      <c r="J61" s="68">
        <f>DETAIL!$P$103</f>
        <v>0.32</v>
      </c>
      <c r="K61" s="68">
        <f>DETAIL!$P$104</f>
        <v>0.25</v>
      </c>
      <c r="L61" s="68">
        <f>DETAIL!$P$105</f>
        <v>0.2</v>
      </c>
      <c r="M61" s="123">
        <f>DETAIL!$P$106</f>
        <v>0.17</v>
      </c>
    </row>
    <row r="62" spans="1:13" ht="15">
      <c r="A62" s="71"/>
      <c r="B62" s="72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124"/>
    </row>
    <row r="63" spans="1:13" ht="15">
      <c r="A63" s="76" t="str">
        <f>A26</f>
        <v>LIGHT CREAM</v>
      </c>
      <c r="B63" s="77">
        <v>1700</v>
      </c>
      <c r="C63" s="78">
        <f aca="true" t="shared" si="1" ref="C63:D65">C26</f>
        <v>18</v>
      </c>
      <c r="D63" s="78">
        <f t="shared" si="1"/>
        <v>29.99</v>
      </c>
      <c r="E63" s="78">
        <f>DETAIL!$P$119</f>
        <v>0.78</v>
      </c>
      <c r="F63" s="78"/>
      <c r="G63" s="78"/>
      <c r="H63" s="78">
        <f>DETAIL!$P$113</f>
        <v>0.62</v>
      </c>
      <c r="I63" s="78">
        <f>DETAIL!$P$114</f>
        <v>0.41</v>
      </c>
      <c r="J63" s="78">
        <f>DETAIL!$P$115</f>
        <v>0.32</v>
      </c>
      <c r="K63" s="78">
        <f>DETAIL!$P$116</f>
        <v>0.25</v>
      </c>
      <c r="L63" s="78">
        <f>DETAIL!$P$117</f>
        <v>0.2</v>
      </c>
      <c r="M63" s="125"/>
    </row>
    <row r="64" spans="1:13" ht="15">
      <c r="A64" s="76" t="str">
        <f>A27</f>
        <v>MEDIUM CREAM</v>
      </c>
      <c r="B64" s="77">
        <v>1800</v>
      </c>
      <c r="C64" s="78">
        <f t="shared" si="1"/>
        <v>30</v>
      </c>
      <c r="D64" s="78">
        <f t="shared" si="1"/>
        <v>35.99</v>
      </c>
      <c r="E64" s="78">
        <f>DETAIL!$P$128</f>
        <v>0.78</v>
      </c>
      <c r="F64" s="78"/>
      <c r="G64" s="78"/>
      <c r="H64" s="78">
        <f>DETAIL!$P$122</f>
        <v>0.62</v>
      </c>
      <c r="I64" s="78">
        <f>DETAIL!$P$123</f>
        <v>0.41</v>
      </c>
      <c r="J64" s="78">
        <f>DETAIL!$P$124</f>
        <v>0.32</v>
      </c>
      <c r="K64" s="78">
        <f>DETAIL!$P$125</f>
        <v>0.25</v>
      </c>
      <c r="L64" s="78">
        <f>DETAIL!$P$126</f>
        <v>0.2</v>
      </c>
      <c r="M64" s="125"/>
    </row>
    <row r="65" spans="1:13" ht="15">
      <c r="A65" s="66" t="str">
        <f>A28</f>
        <v>HEAVY CREAM</v>
      </c>
      <c r="B65" s="67">
        <v>1900</v>
      </c>
      <c r="C65" s="68">
        <f t="shared" si="1"/>
        <v>36</v>
      </c>
      <c r="D65" s="68">
        <f t="shared" si="1"/>
        <v>50</v>
      </c>
      <c r="E65" s="68">
        <f>DETAIL!$P$137</f>
        <v>0.78</v>
      </c>
      <c r="F65" s="68"/>
      <c r="G65" s="68"/>
      <c r="H65" s="68">
        <f>DETAIL!$P$131</f>
        <v>0.62</v>
      </c>
      <c r="I65" s="68">
        <f>DETAIL!$P$132</f>
        <v>0.41</v>
      </c>
      <c r="J65" s="68">
        <f>DETAIL!$P$133</f>
        <v>0.32</v>
      </c>
      <c r="K65" s="68">
        <f>DETAIL!$P$134</f>
        <v>0.25</v>
      </c>
      <c r="L65" s="68">
        <f>DETAIL!$P$135</f>
        <v>0.2</v>
      </c>
      <c r="M65" s="123"/>
    </row>
    <row r="66" spans="1:13" ht="15">
      <c r="A66" s="71"/>
      <c r="B66" s="72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124"/>
    </row>
    <row r="67" spans="1:13" ht="15.75" thickBot="1">
      <c r="A67" s="81" t="str">
        <f>A30</f>
        <v>SOUR CREAM</v>
      </c>
      <c r="B67" s="82">
        <v>1600</v>
      </c>
      <c r="C67" s="83">
        <f>C30</f>
        <v>0</v>
      </c>
      <c r="D67" s="83">
        <f>D30</f>
        <v>29.99</v>
      </c>
      <c r="E67" s="83">
        <f>DETAIL!$P$146</f>
        <v>1.22</v>
      </c>
      <c r="F67" s="83"/>
      <c r="G67" s="83"/>
      <c r="H67" s="83">
        <f>DETAIL!$P$140</f>
        <v>1.14</v>
      </c>
      <c r="I67" s="83">
        <f>DETAIL!$P$141</f>
        <v>0.67</v>
      </c>
      <c r="J67" s="83">
        <f>DETAIL!$P$142</f>
        <v>0.45</v>
      </c>
      <c r="K67" s="83">
        <f>DETAIL!$P$143</f>
        <v>0.38</v>
      </c>
      <c r="L67" s="83">
        <f>DETAIL!$P$144</f>
        <v>0.33</v>
      </c>
      <c r="M67" s="126"/>
    </row>
    <row r="68" spans="1:13" ht="15.75" thickTop="1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</row>
    <row r="69" spans="1:13" ht="15">
      <c r="A69" s="86" t="s">
        <v>124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</row>
    <row r="70" spans="1:13" ht="15">
      <c r="A70" s="86" t="s">
        <v>125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</row>
    <row r="71" spans="1:13" ht="15">
      <c r="A71" s="86" t="s">
        <v>126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</row>
    <row r="72" spans="1:13" ht="15">
      <c r="A72" s="204" t="str">
        <f>CONCATENATE("        /4/  ADD $",INPUT!H22," WHEN SOLD IN RIGID PLASTIC CONTAINERS.")</f>
        <v>        /4/  ADD $0.01 WHEN SOLD IN RIGID PLASTIC CONTAINERS.</v>
      </c>
      <c r="B72" s="86"/>
      <c r="C72" s="127"/>
      <c r="D72" s="86"/>
      <c r="E72" s="86"/>
      <c r="F72" s="86"/>
      <c r="G72" s="86"/>
      <c r="H72" s="86"/>
      <c r="I72" s="86"/>
      <c r="J72" s="86"/>
      <c r="K72" s="86"/>
      <c r="L72" s="86"/>
      <c r="M72" s="86"/>
    </row>
    <row r="73" spans="1:13" ht="14.2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</row>
    <row r="74" spans="2:13" ht="14.25"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</row>
    <row r="75" spans="1:13" ht="14.2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</row>
  </sheetData>
  <sheetProtection/>
  <mergeCells count="5">
    <mergeCell ref="I4:K4"/>
    <mergeCell ref="I5:K5"/>
    <mergeCell ref="D6:E6"/>
    <mergeCell ref="D43:E43"/>
    <mergeCell ref="A36:E36"/>
  </mergeCells>
  <printOptions horizontalCentered="1" verticalCentered="1"/>
  <pageMargins left="0.25" right="0.25" top="0.5" bottom="0.5" header="0.5" footer="0.5"/>
  <pageSetup fitToHeight="2" fitToWidth="1" horizontalDpi="600" verticalDpi="600" orientation="landscape" scale="91" r:id="rId1"/>
  <rowBreaks count="1" manualBreakCount="1">
    <brk id="3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DeSantis</dc:creator>
  <cp:keywords/>
  <dc:description/>
  <cp:lastModifiedBy>Wilson, Joseph</cp:lastModifiedBy>
  <cp:lastPrinted>2006-12-12T16:17:58Z</cp:lastPrinted>
  <dcterms:created xsi:type="dcterms:W3CDTF">1998-10-19T18:47:17Z</dcterms:created>
  <dcterms:modified xsi:type="dcterms:W3CDTF">2024-01-19T20:04:28Z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Order">
    <vt:lpwstr>26500.0000000000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PublishingStartDate">
    <vt:lpwstr/>
  </property>
  <property fmtid="{D5CDD505-2E9C-101B-9397-08002B2CF9AE}" pid="7" name="PublishingExpirationDate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System Account</vt:lpwstr>
  </property>
  <property fmtid="{D5CDD505-2E9C-101B-9397-08002B2CF9AE}" pid="11" name="display_urn:schemas-microsoft-com:office:office#Author">
    <vt:lpwstr>System Account</vt:lpwstr>
  </property>
</Properties>
</file>