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definedNames>
    <definedName name="_xlfn._FV" hidden="1">#NAME?</definedName>
    <definedName name="Class_1_BF_Rate">'INPUT'!$B$6</definedName>
    <definedName name="Class_1_skim_Rate">'INPUT'!$B$5</definedName>
    <definedName name="Class_2_BF_Rate">'INPUT'!$B$8</definedName>
    <definedName name="Class_2_Skim_Rate">'INPUT'!$B$7</definedName>
    <definedName name="Consumer_Price_Index">'INPUT'!$B$9</definedName>
    <definedName name="COST_UPDATE_ADJ">'INPUT'!$B$33</definedName>
    <definedName name="CREAM_ADDON">'INPUT'!$B$61</definedName>
    <definedName name="CREAMER_ADDON">'INPUT'!$B$60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'INPUT'!$B$59</definedName>
    <definedName name="HGAL_CTNR_COST">'INPUT'!$B$14</definedName>
    <definedName name="HPT_CTNR_CST">'INPUT'!$B$19</definedName>
    <definedName name="_xlnm.Print_Area" localSheetId="2">'CNTNR COST'!$A$6:$G$143</definedName>
    <definedName name="_xlnm.Print_Area" localSheetId="3">'DETAIL'!$A$1:$U$145</definedName>
    <definedName name="_xlnm.Print_Area" localSheetId="0">'INPUT'!$A$1:$G$72</definedName>
    <definedName name="_xlnm.Print_Area" localSheetId="1">'RAW'!$A$1:$L$24</definedName>
    <definedName name="_xlnm.Print_Area" localSheetId="4">'SCHEDULES'!$A$1:$M$75</definedName>
    <definedName name="_xlnm.Print_Titles" localSheetId="2">'CNTNR COST'!$1:$3</definedName>
    <definedName name="_xlnm.Print_Titles" localSheetId="3">'DETAIL'!$1:$7</definedName>
    <definedName name="PROCESS_CST">'INPUT'!$B$30</definedName>
    <definedName name="PROFIT">'INPUT'!$B$70</definedName>
    <definedName name="PT_CTNR_CST">'INPUT'!$B$16</definedName>
    <definedName name="QT_CTNR_CST">'INPUT'!$B$15</definedName>
    <definedName name="RETAIL_PRFT">'INPUT'!$B$64</definedName>
    <definedName name="SC_ADDON">'INPUT'!$B$62</definedName>
    <definedName name="SCHEDULE_1">'SCHEDULES'!$A$1:$M$38</definedName>
    <definedName name="SCHEDULE_2">'SCHEDULES'!$A$39:$M$74</definedName>
    <definedName name="STOP_CHARGE">#REF!</definedName>
    <definedName name="STORE_COST">'INPUT'!$B$68</definedName>
    <definedName name="TENoz_CTNRCST">'INPUT'!$B$18</definedName>
    <definedName name="WHSLE_DISCNT">'INPUT'!$B$66</definedName>
  </definedNames>
  <calcPr fullCalcOnLoad="1"/>
</workbook>
</file>

<file path=xl/sharedStrings.xml><?xml version="1.0" encoding="utf-8"?>
<sst xmlns="http://schemas.openxmlformats.org/spreadsheetml/2006/main" count="575" uniqueCount="181">
  <si>
    <t>WESTERN MILK MARKETING AREA,  AREA NO. 5</t>
  </si>
  <si>
    <t>DATA INPUT AREAS IN YELLOW CELLS</t>
  </si>
  <si>
    <t>&lt;</t>
  </si>
  <si>
    <t>Enter MONTH and YEAR</t>
  </si>
  <si>
    <t>Enter number with 2 decimal places</t>
  </si>
  <si>
    <t>Enter number with 4 decimal places</t>
  </si>
  <si>
    <t>Energy Addon</t>
  </si>
  <si>
    <t>TO PRINT SCHEDULES</t>
  </si>
  <si>
    <t>Go to "SCHEDULES" worksheet.</t>
  </si>
  <si>
    <t>Press "Ctrl P, Enter" to print Schedules I and II</t>
  </si>
  <si>
    <t>PROCESSING COST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</si>
  <si>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</si>
  <si>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</si>
  <si>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</si>
  <si>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</si>
  <si>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</si>
  <si>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</si>
  <si>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</si>
  <si>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</si>
  <si>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COST UPDATE ADJ.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</si>
  <si>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</si>
  <si>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</si>
  <si>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</si>
  <si>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</si>
  <si>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</si>
  <si>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</si>
  <si>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</si>
  <si>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</si>
  <si>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</si>
  <si>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</si>
  <si>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</si>
  <si>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</si>
  <si>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</si>
  <si>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RETAIL PROFIT</t>
  </si>
  <si>
    <t>WHOLESALE DISCOUNT</t>
  </si>
  <si>
    <t>In-Store Handling Costs</t>
  </si>
  <si>
    <t>DEALER PROFIT</t>
  </si>
  <si>
    <t>PENNSYLVANIA MILK MARKETING BOARD</t>
  </si>
  <si>
    <t>COMPUTATION OF RAW PRODUCT COST</t>
  </si>
  <si>
    <t>AREA 5 RESALE PRICE BUILD-UP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</si>
  <si>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</si>
  <si>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</si>
  <si>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</si>
  <si>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</si>
  <si>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</si>
  <si>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</si>
  <si>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</si>
  <si>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</si>
  <si>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</si>
  <si>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</si>
  <si>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</si>
  <si>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BULK MILK</t>
  </si>
  <si>
    <t>INGREDIENT</t>
  </si>
  <si>
    <t>ADJUSTMENT</t>
  </si>
  <si>
    <t>HALF &amp; HALF (MIXED MILK)</t>
  </si>
  <si>
    <t>MEDIUM CREAM</t>
  </si>
  <si>
    <t>HEAVY CREAM</t>
  </si>
  <si>
    <t>UNADJUSTED COST PER CONTAINER - AREA 1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</si>
  <si>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</si>
  <si>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</si>
  <si>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</si>
  <si>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</si>
  <si>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</si>
  <si>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</si>
  <si>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</si>
  <si>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</si>
  <si>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</si>
  <si>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</si>
  <si>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</si>
  <si>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</si>
  <si>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</si>
  <si>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</si>
  <si>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</si>
  <si>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</si>
  <si>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5 PRICE BUILD-UP</t>
  </si>
  <si>
    <t xml:space="preserve"> </t>
  </si>
  <si>
    <t>AVERAGE</t>
  </si>
  <si>
    <t>CREAM FIXED</t>
  </si>
  <si>
    <t>SMALL</t>
  </si>
  <si>
    <t>PRICE</t>
  </si>
  <si>
    <t>IN-STORE</t>
  </si>
  <si>
    <t>DELIVERED</t>
  </si>
  <si>
    <t>ADD-ON</t>
  </si>
  <si>
    <t>WHOLESALE</t>
  </si>
  <si>
    <t>DEALER</t>
  </si>
  <si>
    <t>WITH</t>
  </si>
  <si>
    <t>DELIVERY</t>
  </si>
  <si>
    <t>DISCOUNTED</t>
  </si>
  <si>
    <t>HANDLING</t>
  </si>
  <si>
    <t>INTO STORE</t>
  </si>
  <si>
    <t>RETAIL</t>
  </si>
  <si>
    <t>ADJUST.</t>
  </si>
  <si>
    <t>PROFIT</t>
  </si>
  <si>
    <t>INCR/(DEC)</t>
  </si>
  <si>
    <t>DISP./QT.</t>
  </si>
  <si>
    <t>AREA  5</t>
  </si>
  <si>
    <t>BUTTERFAT %</t>
  </si>
  <si>
    <t>BULK</t>
  </si>
  <si>
    <t>NON-RETURNABLE</t>
  </si>
  <si>
    <t>PRODUCT</t>
  </si>
  <si>
    <t>RANGE</t>
  </si>
  <si>
    <t>PER QT.</t>
  </si>
  <si>
    <t>1/2 GAL.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</si>
  <si>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</si>
  <si>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</si>
  <si>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</si>
  <si>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</si>
  <si>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</si>
  <si>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</si>
  <si>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</si>
  <si>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/5/</t>
  </si>
  <si>
    <t>1/2 PT.</t>
  </si>
  <si>
    <t>4 OZ.</t>
  </si>
  <si>
    <t>STANDARD MILK</t>
  </si>
  <si>
    <t>LOWFAT MILK, 1% MILKFAT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</si>
  <si>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</si>
  <si>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</si>
  <si>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</si>
  <si>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</si>
  <si>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</si>
  <si>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</si>
  <si>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</si>
  <si>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</si>
  <si>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</si>
  <si>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</si>
  <si>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</si>
  <si>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</si>
  <si>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</si>
  <si>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</si>
  <si>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</si>
  <si>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</si>
  <si>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</si>
  <si>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</si>
  <si>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</si>
  <si>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 xml:space="preserve">        /4/  ADD $0.0425 PER QUART FOR HOME-DELIVERED MILK</t>
  </si>
  <si>
    <t>SKIM RATE</t>
  </si>
  <si>
    <t>BUTTERFAT RATE</t>
  </si>
  <si>
    <t>CLASS I</t>
  </si>
  <si>
    <t>CLASS II</t>
  </si>
  <si>
    <t xml:space="preserve">                                                                 SCHEDULE I</t>
  </si>
  <si>
    <t xml:space="preserve">WESTERN MILK MARKETING AREA </t>
  </si>
  <si>
    <t>EGG NOG</t>
  </si>
  <si>
    <t>Consumer Price Index</t>
  </si>
  <si>
    <t>Bulk P/L, Shrink &amp; Cream Cost</t>
  </si>
  <si>
    <t>PROPOSED</t>
  </si>
  <si>
    <t>PREPROFIT</t>
  </si>
  <si>
    <t>CURRENT</t>
  </si>
  <si>
    <t>/4/</t>
  </si>
  <si>
    <t xml:space="preserve">ENERGY </t>
  </si>
  <si>
    <t>ADD-ON  &amp;</t>
  </si>
  <si>
    <t>COST ADJUST</t>
  </si>
  <si>
    <t>10 LBS -</t>
  </si>
  <si>
    <t>Class I Skim Value</t>
  </si>
  <si>
    <t>Class I Butterfat Value</t>
  </si>
  <si>
    <t>Adv. Adjusted Class II Skim Price</t>
  </si>
  <si>
    <t>Adv. Adjusted Class II Butterfat Price</t>
  </si>
  <si>
    <t xml:space="preserve">                                                                      WESTERN MILK MARKETING AREA</t>
  </si>
  <si>
    <t xml:space="preserve">                                                                       MINIMUM WHOLESALE PRICES</t>
  </si>
  <si>
    <t>CRATE</t>
  </si>
  <si>
    <t>CRATE COST</t>
  </si>
  <si>
    <t>TEN OUNCE</t>
  </si>
  <si>
    <t>TWELVE OUNCE</t>
  </si>
  <si>
    <t>12 OUNCE</t>
  </si>
  <si>
    <t>12 OZ.</t>
  </si>
  <si>
    <t>10 OZ.</t>
  </si>
  <si>
    <t>HALF PINT PLASTIC ADD-ON</t>
  </si>
  <si>
    <t xml:space="preserve">    /5/    SOUR CREAM           5 LBS - </t>
  </si>
  <si>
    <t>SOUR CREAM /5/</t>
  </si>
  <si>
    <t>Flavored Milk Cost Updates</t>
  </si>
  <si>
    <t>Flavored Milk Cost</t>
  </si>
  <si>
    <t>Flavored Milk Drink Cost</t>
  </si>
  <si>
    <t>FLAVORED NON FAT MILK</t>
  </si>
  <si>
    <t>FLAVORED NONFAT MILK</t>
  </si>
  <si>
    <t>Non-fat Flavored Milk Drink Cost</t>
  </si>
  <si>
    <t>Enter number with 3 decimal places</t>
  </si>
  <si>
    <t>CPI Index - base as of MAR-2021</t>
  </si>
  <si>
    <t>CPI Index - current month</t>
  </si>
  <si>
    <t>% increase/decrease from base</t>
  </si>
  <si>
    <t>12 oz</t>
  </si>
  <si>
    <t>10 oz</t>
  </si>
  <si>
    <t>OGO A-954 (CRO-14)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</si>
</sst>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_(* #,##0.0000_);_(* \(#,##0.0000\);_(* &quot;-&quot;??_);_(@_)"/>
    <numFmt numFmtId="186" formatCode="mmm\-yyyy"/>
    <numFmt numFmtId="187" formatCode="mmmm\-yyyy"/>
    <numFmt numFmtId="188" formatCode="0.0%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&quot;$&quot;#,##0.000_);[Red]\(&quot;$&quot;#,##0.000\)"/>
    <numFmt numFmtId="192" formatCode="&quot;$&quot;#,##0.0000_);[Red]\(&quot;$&quot;#,##0.0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* #,##0.0_);_(* \(#,##0.0\);_(* &quot;-&quot;??_);_(@_)"/>
    <numFmt numFmtId="197" formatCode="_(* #,##0_);_(* \(#,##0\);_(* &quot;-&quot;??_);_(@_)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_(* #,##0.0000_);_(* \(#,##0.0000\);_(* &quot;-&quot;????_);_(@_)"/>
    <numFmt numFmtId="201" formatCode="&quot;    /4/    ADD &quot;&quot;$&quot;* #,##0.0000_)&quot;WHEN SOLD IN RIGID PLASTIC CONTAINERS&quot;;\(&quot;$&quot;* \(#,##0.0000\);_(&quot;$&quot;* &quot;-&quot;_);_(@_)"/>
    <numFmt numFmtId="202" formatCode="&quot;    /5/    ADD &quot;&quot;$&quot;* #,##0.0000_)&quot;WHEN SOLD IN RIGID PLASTIC CONTAINERS&quot;;\(&quot;$&quot;* \(#,##0.0000\);_(&quot;$&quot;* &quot;-&quot;_);_(@_)"/>
    <numFmt numFmtId="203" formatCode="_(* #,##0.000_);_(* \(#,##0.000\);_(* &quot;-&quot;??_);_(@_)"/>
    <numFmt numFmtId="204" formatCode="0.000%"/>
    <numFmt numFmtId="205" formatCode="0.0000%"/>
  </numFmts>
  <fonts count="72">
    <font>
      <sz val="10"/>
      <name val="Arial"/>
      <family val="0"/>
    </font>
    <font>
      <b/>
      <sz val="18"/>
      <name val="Arial MT"/>
      <family val="0"/>
    </font>
    <font>
      <sz val="12"/>
      <name val="Arial MT"/>
      <family val="0"/>
    </font>
    <font>
      <b/>
      <sz val="14"/>
      <name val="Arial MT"/>
      <family val="0"/>
    </font>
    <font>
      <sz val="11"/>
      <name val="Arial MT"/>
      <family val="0"/>
    </font>
    <font>
      <sz val="12"/>
      <color indexed="8"/>
      <name val="Arial MT"/>
      <family val="0"/>
    </font>
    <font>
      <sz val="1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2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name val="Arial MT"/>
      <family val="0"/>
    </font>
    <font>
      <b/>
      <i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 MT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0"/>
      <name val="Arial MT"/>
      <family val="0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 MT"/>
      <family val="2"/>
    </font>
    <font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22" fontId="3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178" fontId="8" fillId="0" borderId="0" xfId="0" applyNumberFormat="1" applyFont="1" applyAlignment="1">
      <alignment horizontal="centerContinuous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16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Alignment="1">
      <alignment/>
    </xf>
    <xf numFmtId="0" fontId="8" fillId="0" borderId="0" xfId="0" applyFont="1" applyAlignment="1">
      <alignment horizontal="centerContinuous" vertical="center"/>
    </xf>
    <xf numFmtId="178" fontId="8" fillId="0" borderId="0" xfId="0" applyNumberFormat="1" applyFont="1" applyAlignment="1">
      <alignment horizontal="centerContinuous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182" fontId="0" fillId="0" borderId="19" xfId="0" applyNumberFormat="1" applyBorder="1" applyAlignment="1">
      <alignment/>
    </xf>
    <xf numFmtId="182" fontId="0" fillId="0" borderId="25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8" fontId="1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13" xfId="0" applyFont="1" applyBorder="1" applyAlignment="1">
      <alignment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centerContinuous" vertic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 quotePrefix="1">
      <alignment horizont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17" xfId="0" applyFont="1" applyBorder="1" applyAlignment="1">
      <alignment/>
    </xf>
    <xf numFmtId="2" fontId="12" fillId="0" borderId="17" xfId="0" applyNumberFormat="1" applyFont="1" applyBorder="1" applyAlignment="1">
      <alignment/>
    </xf>
    <xf numFmtId="180" fontId="12" fillId="0" borderId="17" xfId="0" applyNumberFormat="1" applyFont="1" applyBorder="1" applyAlignment="1">
      <alignment/>
    </xf>
    <xf numFmtId="180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18" xfId="0" applyFont="1" applyBorder="1" applyAlignment="1">
      <alignment/>
    </xf>
    <xf numFmtId="2" fontId="12" fillId="0" borderId="18" xfId="0" applyNumberFormat="1" applyFont="1" applyBorder="1" applyAlignment="1">
      <alignment/>
    </xf>
    <xf numFmtId="180" fontId="12" fillId="0" borderId="18" xfId="0" applyNumberFormat="1" applyFont="1" applyBorder="1" applyAlignment="1">
      <alignment/>
    </xf>
    <xf numFmtId="180" fontId="12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2" fontId="12" fillId="0" borderId="42" xfId="0" applyNumberFormat="1" applyFont="1" applyBorder="1" applyAlignment="1">
      <alignment/>
    </xf>
    <xf numFmtId="180" fontId="12" fillId="0" borderId="42" xfId="0" applyNumberFormat="1" applyFont="1" applyBorder="1" applyAlignment="1">
      <alignment/>
    </xf>
    <xf numFmtId="180" fontId="12" fillId="0" borderId="43" xfId="0" applyNumberFormat="1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2" fontId="12" fillId="0" borderId="45" xfId="0" applyNumberFormat="1" applyFont="1" applyBorder="1" applyAlignment="1">
      <alignment/>
    </xf>
    <xf numFmtId="180" fontId="12" fillId="0" borderId="45" xfId="0" applyNumberFormat="1" applyFont="1" applyBorder="1" applyAlignment="1">
      <alignment/>
    </xf>
    <xf numFmtId="180" fontId="12" fillId="0" borderId="46" xfId="0" applyNumberFormat="1" applyFont="1" applyBorder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" fontId="12" fillId="0" borderId="38" xfId="0" applyNumberFormat="1" applyFont="1" applyBorder="1" applyAlignment="1">
      <alignment/>
    </xf>
    <xf numFmtId="2" fontId="12" fillId="0" borderId="40" xfId="0" applyNumberFormat="1" applyFont="1" applyBorder="1" applyAlignment="1">
      <alignment/>
    </xf>
    <xf numFmtId="2" fontId="12" fillId="0" borderId="43" xfId="0" applyNumberFormat="1" applyFont="1" applyBorder="1" applyAlignment="1">
      <alignment/>
    </xf>
    <xf numFmtId="2" fontId="12" fillId="0" borderId="4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" fillId="33" borderId="47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180" fontId="0" fillId="0" borderId="48" xfId="0" applyNumberFormat="1" applyBorder="1" applyAlignment="1">
      <alignment/>
    </xf>
    <xf numFmtId="180" fontId="0" fillId="0" borderId="49" xfId="0" applyNumberFormat="1" applyBorder="1" applyAlignment="1">
      <alignment/>
    </xf>
    <xf numFmtId="8" fontId="0" fillId="0" borderId="19" xfId="0" applyNumberFormat="1" applyBorder="1" applyAlignment="1">
      <alignment/>
    </xf>
    <xf numFmtId="8" fontId="0" fillId="0" borderId="16" xfId="0" applyNumberFormat="1" applyBorder="1" applyAlignment="1">
      <alignment/>
    </xf>
    <xf numFmtId="8" fontId="0" fillId="0" borderId="25" xfId="0" applyNumberFormat="1" applyBorder="1" applyAlignment="1">
      <alignment/>
    </xf>
    <xf numFmtId="1" fontId="8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0" xfId="0" applyBorder="1" applyAlignment="1">
      <alignment/>
    </xf>
    <xf numFmtId="1" fontId="8" fillId="0" borderId="34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87" fontId="7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171" fontId="0" fillId="0" borderId="0" xfId="0" applyNumberFormat="1" applyAlignment="1">
      <alignment/>
    </xf>
    <xf numFmtId="0" fontId="2" fillId="0" borderId="16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/>
      <protection/>
    </xf>
    <xf numFmtId="171" fontId="2" fillId="0" borderId="16" xfId="0" applyNumberFormat="1" applyFont="1" applyBorder="1" applyAlignment="1" applyProtection="1">
      <alignment/>
      <protection/>
    </xf>
    <xf numFmtId="167" fontId="2" fillId="0" borderId="16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171" fontId="2" fillId="0" borderId="17" xfId="0" applyNumberFormat="1" applyFont="1" applyBorder="1" applyAlignment="1" applyProtection="1">
      <alignment/>
      <protection/>
    </xf>
    <xf numFmtId="167" fontId="2" fillId="0" borderId="17" xfId="0" applyNumberFormat="1" applyFont="1" applyBorder="1" applyAlignment="1" applyProtection="1">
      <alignment/>
      <protection/>
    </xf>
    <xf numFmtId="180" fontId="12" fillId="0" borderId="18" xfId="0" applyNumberFormat="1" applyFont="1" applyBorder="1" applyAlignment="1">
      <alignment shrinkToFit="1"/>
    </xf>
    <xf numFmtId="0" fontId="0" fillId="0" borderId="0" xfId="0" applyFont="1" applyAlignment="1">
      <alignment/>
    </xf>
    <xf numFmtId="0" fontId="0" fillId="0" borderId="52" xfId="0" applyFont="1" applyBorder="1" applyAlignment="1" applyProtection="1">
      <alignment horizontal="right"/>
      <protection/>
    </xf>
    <xf numFmtId="0" fontId="12" fillId="0" borderId="53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199" fontId="2" fillId="0" borderId="17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33" borderId="13" xfId="0" applyFont="1" applyFill="1" applyBorder="1" applyAlignment="1">
      <alignment horizontal="center"/>
    </xf>
    <xf numFmtId="180" fontId="0" fillId="33" borderId="19" xfId="0" applyNumberFormat="1" applyFill="1" applyBorder="1" applyAlignment="1">
      <alignment/>
    </xf>
    <xf numFmtId="180" fontId="0" fillId="33" borderId="16" xfId="0" applyNumberFormat="1" applyFill="1" applyBorder="1" applyAlignment="1">
      <alignment/>
    </xf>
    <xf numFmtId="180" fontId="0" fillId="33" borderId="25" xfId="0" applyNumberFormat="1" applyFill="1" applyBorder="1" applyAlignment="1">
      <alignment/>
    </xf>
    <xf numFmtId="44" fontId="0" fillId="33" borderId="19" xfId="44" applyFont="1" applyFill="1" applyBorder="1" applyAlignment="1">
      <alignment/>
    </xf>
    <xf numFmtId="44" fontId="0" fillId="33" borderId="16" xfId="44" applyFont="1" applyFill="1" applyBorder="1" applyAlignment="1">
      <alignment/>
    </xf>
    <xf numFmtId="44" fontId="0" fillId="33" borderId="25" xfId="44" applyFont="1" applyFill="1" applyBorder="1" applyAlignment="1">
      <alignment/>
    </xf>
    <xf numFmtId="44" fontId="0" fillId="0" borderId="0" xfId="44" applyFont="1" applyAlignment="1">
      <alignment/>
    </xf>
    <xf numFmtId="44" fontId="0" fillId="0" borderId="19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25" xfId="44" applyFont="1" applyBorder="1" applyAlignment="1">
      <alignment/>
    </xf>
    <xf numFmtId="0" fontId="16" fillId="0" borderId="31" xfId="0" applyFont="1" applyBorder="1" applyAlignment="1">
      <alignment horizontal="center"/>
    </xf>
    <xf numFmtId="10" fontId="16" fillId="0" borderId="31" xfId="0" applyNumberFormat="1" applyFont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10" fontId="16" fillId="0" borderId="31" xfId="61" applyNumberFormat="1" applyFont="1" applyBorder="1" applyAlignment="1">
      <alignment horizontal="center"/>
    </xf>
    <xf numFmtId="0" fontId="17" fillId="0" borderId="0" xfId="0" applyFont="1" applyAlignment="1">
      <alignment/>
    </xf>
    <xf numFmtId="17" fontId="16" fillId="0" borderId="31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4" fontId="0" fillId="0" borderId="25" xfId="44" applyFont="1" applyFill="1" applyBorder="1" applyAlignment="1">
      <alignment/>
    </xf>
    <xf numFmtId="44" fontId="0" fillId="0" borderId="0" xfId="44" applyFont="1" applyFill="1" applyAlignment="1">
      <alignment/>
    </xf>
    <xf numFmtId="180" fontId="1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97" fontId="2" fillId="34" borderId="53" xfId="42" applyNumberFormat="1" applyFont="1" applyFill="1" applyBorder="1" applyAlignment="1" applyProtection="1">
      <alignment/>
      <protection/>
    </xf>
    <xf numFmtId="197" fontId="2" fillId="34" borderId="17" xfId="42" applyNumberFormat="1" applyFont="1" applyFill="1" applyBorder="1" applyAlignment="1" applyProtection="1">
      <alignment/>
      <protection/>
    </xf>
    <xf numFmtId="197" fontId="2" fillId="34" borderId="51" xfId="42" applyNumberFormat="1" applyFont="1" applyFill="1" applyBorder="1" applyAlignment="1" applyProtection="1">
      <alignment/>
      <protection/>
    </xf>
    <xf numFmtId="197" fontId="2" fillId="34" borderId="16" xfId="42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180" fontId="12" fillId="0" borderId="51" xfId="0" applyNumberFormat="1" applyFont="1" applyBorder="1" applyAlignment="1" applyProtection="1">
      <alignment/>
      <protection/>
    </xf>
    <xf numFmtId="180" fontId="12" fillId="0" borderId="16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201" fontId="0" fillId="0" borderId="0" xfId="0" applyNumberFormat="1" applyAlignment="1">
      <alignment/>
    </xf>
    <xf numFmtId="0" fontId="12" fillId="0" borderId="0" xfId="0" applyFont="1" applyAlignment="1" quotePrefix="1">
      <alignment/>
    </xf>
    <xf numFmtId="190" fontId="2" fillId="34" borderId="18" xfId="44" applyNumberFormat="1" applyFont="1" applyFill="1" applyBorder="1" applyAlignment="1" applyProtection="1">
      <alignment/>
      <protection locked="0"/>
    </xf>
    <xf numFmtId="190" fontId="2" fillId="34" borderId="42" xfId="44" applyNumberFormat="1" applyFont="1" applyFill="1" applyBorder="1" applyAlignment="1" applyProtection="1">
      <alignment/>
      <protection locked="0"/>
    </xf>
    <xf numFmtId="190" fontId="2" fillId="34" borderId="17" xfId="44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/>
    </xf>
    <xf numFmtId="0" fontId="8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0" fillId="0" borderId="0" xfId="58" applyFont="1" applyFill="1" applyProtection="1">
      <alignment/>
      <protection hidden="1"/>
    </xf>
    <xf numFmtId="0" fontId="12" fillId="0" borderId="0" xfId="58" applyFont="1" applyFill="1" applyAlignment="1" applyProtection="1">
      <alignment horizontal="left"/>
      <protection hidden="1"/>
    </xf>
    <xf numFmtId="0" fontId="12" fillId="0" borderId="0" xfId="58" applyFont="1" applyFill="1" applyProtection="1">
      <alignment/>
      <protection hidden="1"/>
    </xf>
    <xf numFmtId="0" fontId="12" fillId="0" borderId="0" xfId="58" applyFont="1" applyFill="1" applyProtection="1">
      <alignment/>
      <protection/>
    </xf>
    <xf numFmtId="0" fontId="64" fillId="0" borderId="0" xfId="0" applyFont="1" applyFill="1" applyAlignment="1" applyProtection="1">
      <alignment/>
      <protection hidden="1"/>
    </xf>
    <xf numFmtId="0" fontId="64" fillId="0" borderId="0" xfId="0" applyFont="1" applyFill="1" applyBorder="1" applyAlignment="1" applyProtection="1">
      <alignment/>
      <protection hidden="1"/>
    </xf>
    <xf numFmtId="185" fontId="65" fillId="0" borderId="0" xfId="42" applyNumberFormat="1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/>
      <protection hidden="1"/>
    </xf>
    <xf numFmtId="180" fontId="67" fillId="0" borderId="0" xfId="0" applyNumberFormat="1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10" fontId="65" fillId="0" borderId="0" xfId="61" applyNumberFormat="1" applyFont="1" applyFill="1" applyBorder="1" applyAlignment="1" applyProtection="1">
      <alignment/>
      <protection hidden="1"/>
    </xf>
    <xf numFmtId="10" fontId="67" fillId="0" borderId="0" xfId="61" applyNumberFormat="1" applyFont="1" applyFill="1" applyBorder="1" applyAlignment="1" applyProtection="1">
      <alignment/>
      <protection hidden="1"/>
    </xf>
    <xf numFmtId="190" fontId="65" fillId="0" borderId="0" xfId="44" applyNumberFormat="1" applyFont="1" applyFill="1" applyBorder="1" applyAlignment="1" applyProtection="1">
      <alignment/>
      <protection hidden="1"/>
    </xf>
    <xf numFmtId="180" fontId="66" fillId="0" borderId="0" xfId="0" applyNumberFormat="1" applyFont="1" applyFill="1" applyBorder="1" applyAlignment="1" applyProtection="1">
      <alignment/>
      <protection hidden="1"/>
    </xf>
    <xf numFmtId="0" fontId="66" fillId="0" borderId="0" xfId="0" applyFont="1" applyFill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8" fontId="0" fillId="0" borderId="50" xfId="0" applyNumberForma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17" fontId="21" fillId="33" borderId="55" xfId="0" applyNumberFormat="1" applyFont="1" applyFill="1" applyBorder="1" applyAlignment="1" applyProtection="1">
      <alignment horizontal="centerContinuous"/>
      <protection/>
    </xf>
    <xf numFmtId="0" fontId="0" fillId="33" borderId="47" xfId="0" applyFont="1" applyFill="1" applyBorder="1" applyAlignment="1" applyProtection="1">
      <alignment horizontal="centerContinuous"/>
      <protection/>
    </xf>
    <xf numFmtId="0" fontId="0" fillId="33" borderId="56" xfId="0" applyFont="1" applyFill="1" applyBorder="1" applyAlignment="1" applyProtection="1">
      <alignment horizontal="centerContinuous"/>
      <protection/>
    </xf>
    <xf numFmtId="186" fontId="2" fillId="34" borderId="17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44" fontId="2" fillId="34" borderId="16" xfId="44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190" fontId="2" fillId="34" borderId="16" xfId="44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203" fontId="2" fillId="34" borderId="16" xfId="42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36" borderId="0" xfId="0" applyFont="1" applyFill="1" applyAlignment="1" applyProtection="1">
      <alignment/>
      <protection/>
    </xf>
    <xf numFmtId="190" fontId="2" fillId="0" borderId="0" xfId="44" applyNumberFormat="1" applyFont="1" applyFill="1" applyBorder="1" applyAlignment="1" applyProtection="1">
      <alignment/>
      <protection locked="0"/>
    </xf>
    <xf numFmtId="190" fontId="2" fillId="0" borderId="0" xfId="46" applyNumberFormat="1" applyFont="1" applyFill="1" applyBorder="1" applyAlignment="1" applyProtection="1">
      <alignment/>
      <protection locked="0"/>
    </xf>
    <xf numFmtId="190" fontId="12" fillId="37" borderId="16" xfId="46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90" fontId="67" fillId="0" borderId="0" xfId="44" applyNumberFormat="1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 horizontal="right"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/>
      <protection/>
    </xf>
    <xf numFmtId="0" fontId="68" fillId="0" borderId="0" xfId="58" applyFont="1" applyFill="1" applyAlignment="1" applyProtection="1">
      <alignment horizontal="left"/>
      <protection/>
    </xf>
    <xf numFmtId="0" fontId="68" fillId="0" borderId="0" xfId="58" applyFont="1" applyFill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180" fontId="66" fillId="0" borderId="0" xfId="0" applyNumberFormat="1" applyFont="1" applyFill="1" applyBorder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171" fontId="67" fillId="0" borderId="0" xfId="0" applyNumberFormat="1" applyFont="1" applyFill="1" applyBorder="1" applyAlignment="1" applyProtection="1">
      <alignment/>
      <protection/>
    </xf>
    <xf numFmtId="10" fontId="67" fillId="0" borderId="0" xfId="0" applyNumberFormat="1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180" fontId="67" fillId="0" borderId="0" xfId="0" applyNumberFormat="1" applyFont="1" applyFill="1" applyBorder="1" applyAlignment="1" applyProtection="1">
      <alignment/>
      <protection/>
    </xf>
    <xf numFmtId="205" fontId="67" fillId="0" borderId="0" xfId="61" applyNumberFormat="1" applyFont="1" applyFill="1" applyBorder="1" applyAlignment="1" applyProtection="1">
      <alignment/>
      <protection/>
    </xf>
    <xf numFmtId="190" fontId="67" fillId="0" borderId="0" xfId="44" applyNumberFormat="1" applyFont="1" applyFill="1" applyBorder="1" applyAlignment="1" applyProtection="1">
      <alignment/>
      <protection/>
    </xf>
    <xf numFmtId="180" fontId="0" fillId="0" borderId="20" xfId="0" applyNumberFormat="1" applyBorder="1" applyAlignment="1">
      <alignment/>
    </xf>
    <xf numFmtId="0" fontId="0" fillId="0" borderId="55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201" fontId="12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tabSelected="1" zoomScale="75" zoomScaleNormal="75" zoomScalePageLayoutView="0" workbookViewId="0" topLeftCell="A1">
      <selection activeCell="L34" sqref="L34"/>
    </sheetView>
  </sheetViews>
  <sheetFormatPr defaultColWidth="9.140625" defaultRowHeight="12.75"/>
  <cols>
    <col min="1" max="1" width="39.140625" style="206" customWidth="1"/>
    <col min="2" max="2" width="18.00390625" style="206" customWidth="1"/>
    <col min="3" max="3" width="2.28125" style="206" customWidth="1"/>
    <col min="4" max="4" width="14.140625" style="206" customWidth="1"/>
    <col min="5" max="5" width="12.421875" style="206" customWidth="1"/>
    <col min="6" max="6" width="12.57421875" style="206" customWidth="1"/>
    <col min="7" max="8" width="9.140625" style="206" customWidth="1"/>
    <col min="9" max="9" width="15.8515625" style="206" customWidth="1"/>
    <col min="10" max="16384" width="9.140625" style="206" customWidth="1"/>
  </cols>
  <sheetData>
    <row r="1" spans="1:2" ht="18.75" thickBot="1">
      <c r="A1" s="97" t="s">
        <v>0</v>
      </c>
      <c r="B1" s="6"/>
    </row>
    <row r="2" spans="1:7" ht="21" thickBot="1">
      <c r="A2" s="174" t="s">
        <v>180</v>
      </c>
      <c r="B2" s="207" t="s">
        <v>1</v>
      </c>
      <c r="C2" s="208"/>
      <c r="D2" s="208"/>
      <c r="E2" s="98"/>
      <c r="F2" s="208"/>
      <c r="G2" s="209"/>
    </row>
    <row r="3" spans="1:6" ht="15">
      <c r="A3" s="166"/>
      <c r="B3" s="210"/>
      <c r="C3" s="225" t="s">
        <v>2</v>
      </c>
      <c r="D3" s="226" t="s">
        <v>3</v>
      </c>
      <c r="E3" s="227"/>
      <c r="F3" s="227"/>
    </row>
    <row r="4" spans="1:5" ht="15">
      <c r="A4" s="13"/>
      <c r="B4" s="6"/>
      <c r="C4" s="211"/>
      <c r="D4" s="99"/>
      <c r="E4" s="6"/>
    </row>
    <row r="5" spans="1:10" ht="15">
      <c r="A5" s="157" t="s">
        <v>152</v>
      </c>
      <c r="B5" s="212"/>
      <c r="C5" s="228" t="s">
        <v>2</v>
      </c>
      <c r="D5" s="226" t="s">
        <v>4</v>
      </c>
      <c r="E5" s="226"/>
      <c r="F5" s="227"/>
      <c r="G5" s="227"/>
      <c r="H5" s="213" t="s">
        <v>7</v>
      </c>
      <c r="I5" s="213"/>
      <c r="J5" s="213"/>
    </row>
    <row r="6" spans="1:10" ht="15">
      <c r="A6" s="157" t="s">
        <v>153</v>
      </c>
      <c r="B6" s="214"/>
      <c r="C6" s="228" t="s">
        <v>2</v>
      </c>
      <c r="D6" s="226" t="s">
        <v>5</v>
      </c>
      <c r="E6" s="229"/>
      <c r="F6" s="227"/>
      <c r="G6" s="227"/>
      <c r="H6" s="213" t="s">
        <v>8</v>
      </c>
      <c r="I6" s="213"/>
      <c r="J6" s="213"/>
    </row>
    <row r="7" spans="1:11" ht="15">
      <c r="A7" s="6" t="s">
        <v>154</v>
      </c>
      <c r="B7" s="212"/>
      <c r="C7" s="228" t="s">
        <v>2</v>
      </c>
      <c r="D7" s="226" t="s">
        <v>4</v>
      </c>
      <c r="E7" s="226"/>
      <c r="F7" s="227"/>
      <c r="G7" s="227"/>
      <c r="H7" s="213" t="s">
        <v>9</v>
      </c>
      <c r="I7" s="213"/>
      <c r="J7" s="213"/>
      <c r="K7" s="213"/>
    </row>
    <row r="8" spans="1:7" ht="15">
      <c r="A8" s="6" t="s">
        <v>155</v>
      </c>
      <c r="B8" s="214"/>
      <c r="C8" s="228" t="s">
        <v>2</v>
      </c>
      <c r="D8" s="226" t="s">
        <v>5</v>
      </c>
      <c r="E8" s="229"/>
      <c r="F8" s="227"/>
      <c r="G8" s="227"/>
    </row>
    <row r="9" spans="1:7" ht="15">
      <c r="A9" s="215" t="s">
        <v>142</v>
      </c>
      <c r="B9" s="216"/>
      <c r="C9" s="228" t="s">
        <v>2</v>
      </c>
      <c r="D9" s="226" t="s">
        <v>174</v>
      </c>
      <c r="E9" s="229"/>
      <c r="F9" s="227"/>
      <c r="G9" s="227"/>
    </row>
    <row r="10" spans="1:7" ht="15">
      <c r="A10" s="99" t="s">
        <v>6</v>
      </c>
      <c r="B10" s="214"/>
      <c r="C10" s="228" t="s">
        <v>2</v>
      </c>
      <c r="D10" s="226" t="s">
        <v>5</v>
      </c>
      <c r="E10" s="229"/>
      <c r="F10" s="227"/>
      <c r="G10" s="227"/>
    </row>
    <row r="11" ht="12.75">
      <c r="C11" s="217"/>
    </row>
    <row r="12" spans="1:3" ht="15.75">
      <c r="A12" s="167" t="s">
        <v>11</v>
      </c>
      <c r="B12" s="168"/>
      <c r="C12" s="217"/>
    </row>
    <row r="13" spans="1:3" ht="15">
      <c r="A13" s="168" t="s">
        <v>12</v>
      </c>
      <c r="B13" s="171"/>
      <c r="C13" s="217"/>
    </row>
    <row r="14" spans="1:3" ht="15">
      <c r="A14" s="168" t="s">
        <v>13</v>
      </c>
      <c r="B14" s="172"/>
      <c r="C14" s="217"/>
    </row>
    <row r="15" spans="1:3" ht="15">
      <c r="A15" s="168" t="s">
        <v>14</v>
      </c>
      <c r="B15" s="172"/>
      <c r="C15" s="217"/>
    </row>
    <row r="16" spans="1:3" ht="15">
      <c r="A16" s="168" t="s">
        <v>15</v>
      </c>
      <c r="B16" s="172"/>
      <c r="C16" s="217"/>
    </row>
    <row r="17" spans="1:8" ht="15" hidden="1">
      <c r="A17" s="168" t="s">
        <v>161</v>
      </c>
      <c r="B17" s="172">
        <v>0.1766</v>
      </c>
      <c r="C17" s="217"/>
      <c r="H17" s="218"/>
    </row>
    <row r="18" spans="1:8" ht="15" hidden="1">
      <c r="A18" s="168" t="s">
        <v>160</v>
      </c>
      <c r="B18" s="172">
        <v>0.0544</v>
      </c>
      <c r="C18" s="217"/>
      <c r="H18" s="218"/>
    </row>
    <row r="19" spans="1:3" ht="15">
      <c r="A19" s="168" t="s">
        <v>16</v>
      </c>
      <c r="B19" s="172"/>
      <c r="C19" s="217"/>
    </row>
    <row r="20" spans="1:5" ht="16.5" customHeight="1">
      <c r="A20" s="162" t="s">
        <v>165</v>
      </c>
      <c r="B20" s="173"/>
      <c r="C20" s="217"/>
      <c r="E20" s="223">
        <f>IF(ROUND(B20,2)&gt;B20,ROUND(B20,2),ROUND(B20+0.01,2))</f>
        <v>0.01</v>
      </c>
    </row>
    <row r="21" spans="1:8" ht="15" hidden="1">
      <c r="A21" s="168" t="s">
        <v>17</v>
      </c>
      <c r="B21" s="172">
        <v>0.0359</v>
      </c>
      <c r="C21" s="217"/>
      <c r="H21" s="218"/>
    </row>
    <row r="22" spans="1:8" ht="15" hidden="1">
      <c r="A22" s="168" t="s">
        <v>18</v>
      </c>
      <c r="B22" s="173">
        <v>0.1039</v>
      </c>
      <c r="C22" s="217"/>
      <c r="H22" s="218"/>
    </row>
    <row r="23" spans="1:3" ht="15">
      <c r="A23" s="162"/>
      <c r="B23" s="219"/>
      <c r="C23" s="217"/>
    </row>
    <row r="24" spans="1:3" ht="15">
      <c r="A24" s="162"/>
      <c r="B24" s="219"/>
      <c r="C24" s="217"/>
    </row>
    <row r="25" spans="1:4" ht="15.75">
      <c r="A25" s="180" t="s">
        <v>168</v>
      </c>
      <c r="B25" s="220"/>
      <c r="C25" s="181"/>
      <c r="D25" s="182"/>
    </row>
    <row r="26" spans="1:7" ht="15">
      <c r="A26" s="183" t="s">
        <v>169</v>
      </c>
      <c r="B26" s="221"/>
      <c r="C26" s="230" t="s">
        <v>2</v>
      </c>
      <c r="D26" s="231" t="s">
        <v>5</v>
      </c>
      <c r="E26" s="227"/>
      <c r="F26" s="227"/>
      <c r="G26" s="227"/>
    </row>
    <row r="27" spans="1:7" ht="15">
      <c r="A27" s="183" t="s">
        <v>170</v>
      </c>
      <c r="B27" s="221"/>
      <c r="C27" s="230" t="s">
        <v>2</v>
      </c>
      <c r="D27" s="231" t="s">
        <v>5</v>
      </c>
      <c r="E27" s="232"/>
      <c r="F27" s="232"/>
      <c r="G27" s="227"/>
    </row>
    <row r="28" spans="1:7" ht="15">
      <c r="A28" s="183" t="s">
        <v>173</v>
      </c>
      <c r="B28" s="221"/>
      <c r="C28" s="230" t="s">
        <v>2</v>
      </c>
      <c r="D28" s="231" t="s">
        <v>5</v>
      </c>
      <c r="E28" s="232"/>
      <c r="F28" s="232"/>
      <c r="G28" s="232"/>
    </row>
    <row r="29" spans="1:12" ht="15.75">
      <c r="A29" s="199"/>
      <c r="B29" s="200"/>
      <c r="C29" s="201"/>
      <c r="D29" s="200"/>
      <c r="E29" s="200"/>
      <c r="F29" s="202"/>
      <c r="G29" s="203"/>
      <c r="H29" s="198"/>
      <c r="I29" s="198"/>
      <c r="J29" s="198"/>
      <c r="K29" s="198"/>
      <c r="L29" s="198"/>
    </row>
    <row r="30" spans="1:12" s="233" customFormat="1" ht="15.75">
      <c r="A30" s="185" t="s">
        <v>10</v>
      </c>
      <c r="B30" s="186">
        <v>0.3958</v>
      </c>
      <c r="C30" s="187"/>
      <c r="D30" s="188"/>
      <c r="E30" s="188"/>
      <c r="F30" s="188"/>
      <c r="G30" s="187"/>
      <c r="H30" s="196"/>
      <c r="I30" s="194"/>
      <c r="J30" s="194"/>
      <c r="K30" s="195"/>
      <c r="L30" s="194"/>
    </row>
    <row r="31" spans="1:12" s="233" customFormat="1" ht="15">
      <c r="A31" s="189"/>
      <c r="B31" s="189"/>
      <c r="C31" s="187"/>
      <c r="D31" s="188"/>
      <c r="E31" s="188"/>
      <c r="F31" s="188"/>
      <c r="G31" s="187"/>
      <c r="H31" s="196"/>
      <c r="I31" s="194"/>
      <c r="J31" s="194"/>
      <c r="K31" s="195"/>
      <c r="L31" s="194"/>
    </row>
    <row r="32" spans="1:12" s="233" customFormat="1" ht="15">
      <c r="A32" s="189"/>
      <c r="B32" s="189"/>
      <c r="C32" s="187"/>
      <c r="D32" s="188"/>
      <c r="E32" s="188"/>
      <c r="F32" s="188"/>
      <c r="G32" s="187"/>
      <c r="H32" s="196"/>
      <c r="I32" s="194"/>
      <c r="J32" s="194"/>
      <c r="K32" s="195"/>
      <c r="L32" s="194"/>
    </row>
    <row r="33" spans="1:12" s="233" customFormat="1" ht="15" customHeight="1">
      <c r="A33" s="185" t="s">
        <v>19</v>
      </c>
      <c r="B33" s="186">
        <v>0.0106</v>
      </c>
      <c r="C33" s="187"/>
      <c r="D33" s="186"/>
      <c r="E33" s="188"/>
      <c r="F33" s="188"/>
      <c r="G33" s="187"/>
      <c r="H33" s="234"/>
      <c r="I33" s="235"/>
      <c r="J33" s="194"/>
      <c r="K33" s="236"/>
      <c r="L33" s="194"/>
    </row>
    <row r="34" spans="1:12" s="233" customFormat="1" ht="15" customHeight="1">
      <c r="A34" s="185"/>
      <c r="B34" s="186"/>
      <c r="C34" s="187"/>
      <c r="D34" s="186"/>
      <c r="E34" s="188"/>
      <c r="F34" s="188"/>
      <c r="G34" s="187"/>
      <c r="H34" s="234"/>
      <c r="I34" s="235"/>
      <c r="J34" s="194"/>
      <c r="K34" s="236"/>
      <c r="L34" s="194"/>
    </row>
    <row r="35" spans="1:12" s="233" customFormat="1" ht="15" customHeight="1">
      <c r="A35" s="185" t="s">
        <v>159</v>
      </c>
      <c r="B35" s="186">
        <v>0</v>
      </c>
      <c r="C35" s="187"/>
      <c r="D35" s="186"/>
      <c r="E35" s="188"/>
      <c r="F35" s="188"/>
      <c r="G35" s="187"/>
      <c r="H35" s="234"/>
      <c r="I35" s="235"/>
      <c r="J35" s="194"/>
      <c r="K35" s="236"/>
      <c r="L35" s="194"/>
    </row>
    <row r="36" spans="1:12" s="233" customFormat="1" ht="15">
      <c r="A36" s="189"/>
      <c r="B36" s="189"/>
      <c r="C36" s="187"/>
      <c r="D36" s="188"/>
      <c r="E36" s="188"/>
      <c r="F36" s="188"/>
      <c r="G36" s="187"/>
      <c r="H36" s="196"/>
      <c r="I36" s="194"/>
      <c r="J36" s="194"/>
      <c r="K36" s="195"/>
      <c r="L36" s="194"/>
    </row>
    <row r="37" spans="1:12" s="233" customFormat="1" ht="15.75">
      <c r="A37" s="185" t="s">
        <v>20</v>
      </c>
      <c r="B37" s="189"/>
      <c r="C37" s="187"/>
      <c r="D37" s="188"/>
      <c r="E37" s="188"/>
      <c r="F37" s="188"/>
      <c r="G37" s="187"/>
      <c r="H37" s="196"/>
      <c r="I37" s="194"/>
      <c r="J37" s="194"/>
      <c r="K37" s="195"/>
      <c r="L37" s="194"/>
    </row>
    <row r="38" spans="1:12" s="233" customFormat="1" ht="15">
      <c r="A38" s="189" t="s">
        <v>21</v>
      </c>
      <c r="B38" s="189">
        <v>0</v>
      </c>
      <c r="C38" s="187"/>
      <c r="D38" s="188"/>
      <c r="E38" s="188"/>
      <c r="F38" s="188"/>
      <c r="G38" s="187"/>
      <c r="H38" s="196"/>
      <c r="I38" s="194"/>
      <c r="J38" s="194"/>
      <c r="K38" s="195"/>
      <c r="L38" s="194"/>
    </row>
    <row r="39" spans="1:12" s="233" customFormat="1" ht="15">
      <c r="A39" s="189" t="s">
        <v>22</v>
      </c>
      <c r="B39" s="188">
        <v>0.0001</v>
      </c>
      <c r="C39" s="187"/>
      <c r="D39" s="188"/>
      <c r="E39" s="188"/>
      <c r="F39" s="188"/>
      <c r="G39" s="187"/>
      <c r="H39" s="196"/>
      <c r="I39" s="194"/>
      <c r="J39" s="194"/>
      <c r="K39" s="195"/>
      <c r="L39" s="194"/>
    </row>
    <row r="40" spans="1:12" s="233" customFormat="1" ht="15">
      <c r="A40" s="189" t="s">
        <v>23</v>
      </c>
      <c r="B40" s="188">
        <v>0.0001</v>
      </c>
      <c r="C40" s="187"/>
      <c r="D40" s="188"/>
      <c r="E40" s="188"/>
      <c r="F40" s="188"/>
      <c r="G40" s="187"/>
      <c r="H40" s="196"/>
      <c r="I40" s="194"/>
      <c r="J40" s="194"/>
      <c r="K40" s="236"/>
      <c r="L40" s="194"/>
    </row>
    <row r="41" spans="1:12" s="233" customFormat="1" ht="15">
      <c r="A41" s="189" t="s">
        <v>24</v>
      </c>
      <c r="B41" s="188">
        <v>0.0009</v>
      </c>
      <c r="C41" s="187"/>
      <c r="D41" s="188"/>
      <c r="E41" s="188"/>
      <c r="F41" s="188"/>
      <c r="G41" s="187"/>
      <c r="H41" s="196"/>
      <c r="I41" s="194"/>
      <c r="J41" s="194"/>
      <c r="K41" s="236"/>
      <c r="L41" s="194"/>
    </row>
    <row r="42" spans="1:12" s="233" customFormat="1" ht="15">
      <c r="A42" s="189" t="s">
        <v>25</v>
      </c>
      <c r="B42" s="188">
        <f>B26</f>
        <v>0</v>
      </c>
      <c r="C42" s="187"/>
      <c r="D42" s="188"/>
      <c r="E42" s="188"/>
      <c r="F42" s="188"/>
      <c r="G42" s="187"/>
      <c r="H42" s="196"/>
      <c r="I42" s="194"/>
      <c r="J42" s="194"/>
      <c r="K42" s="236"/>
      <c r="L42" s="194"/>
    </row>
    <row r="43" spans="1:12" s="233" customFormat="1" ht="15">
      <c r="A43" s="189" t="s">
        <v>50</v>
      </c>
      <c r="B43" s="188">
        <f>B27</f>
        <v>0</v>
      </c>
      <c r="C43" s="187"/>
      <c r="D43" s="188"/>
      <c r="E43" s="188"/>
      <c r="F43" s="188"/>
      <c r="G43" s="187"/>
      <c r="H43" s="196"/>
      <c r="I43" s="194"/>
      <c r="J43" s="194"/>
      <c r="K43" s="236"/>
      <c r="L43" s="194"/>
    </row>
    <row r="44" spans="1:12" s="233" customFormat="1" ht="15">
      <c r="A44" s="189" t="s">
        <v>171</v>
      </c>
      <c r="B44" s="188">
        <f>B28</f>
        <v>0</v>
      </c>
      <c r="C44" s="187"/>
      <c r="D44" s="188"/>
      <c r="E44" s="188"/>
      <c r="F44" s="188"/>
      <c r="G44" s="187"/>
      <c r="H44" s="196"/>
      <c r="I44" s="194"/>
      <c r="J44" s="194"/>
      <c r="K44" s="236"/>
      <c r="L44" s="194"/>
    </row>
    <row r="45" spans="1:12" s="233" customFormat="1" ht="15">
      <c r="A45" s="189" t="s">
        <v>27</v>
      </c>
      <c r="B45" s="188">
        <v>0.0433</v>
      </c>
      <c r="C45" s="187"/>
      <c r="D45" s="188"/>
      <c r="E45" s="188"/>
      <c r="F45" s="188"/>
      <c r="G45" s="187"/>
      <c r="H45" s="196"/>
      <c r="I45" s="194"/>
      <c r="J45" s="194"/>
      <c r="K45" s="236"/>
      <c r="L45" s="194"/>
    </row>
    <row r="46" spans="1:12" s="233" customFormat="1" ht="15">
      <c r="A46" s="189" t="s">
        <v>141</v>
      </c>
      <c r="B46" s="188">
        <v>0.2522</v>
      </c>
      <c r="C46" s="187"/>
      <c r="D46" s="188"/>
      <c r="E46" s="188"/>
      <c r="F46" s="188"/>
      <c r="G46" s="187"/>
      <c r="H46" s="196"/>
      <c r="I46" s="194"/>
      <c r="J46" s="194"/>
      <c r="K46" s="195"/>
      <c r="L46" s="194"/>
    </row>
    <row r="47" spans="1:12" s="233" customFormat="1" ht="15">
      <c r="A47" s="189"/>
      <c r="B47" s="188"/>
      <c r="C47" s="187"/>
      <c r="D47" s="188"/>
      <c r="E47" s="188"/>
      <c r="F47" s="188"/>
      <c r="G47" s="187"/>
      <c r="H47" s="196"/>
      <c r="I47" s="194"/>
      <c r="J47" s="194"/>
      <c r="K47" s="195"/>
      <c r="L47" s="194"/>
    </row>
    <row r="48" spans="1:12" s="233" customFormat="1" ht="15.75">
      <c r="A48" s="185" t="s">
        <v>143</v>
      </c>
      <c r="B48" s="188"/>
      <c r="C48" s="187"/>
      <c r="D48" s="188"/>
      <c r="E48" s="188"/>
      <c r="F48" s="188"/>
      <c r="G48" s="187"/>
      <c r="H48" s="196"/>
      <c r="I48" s="194"/>
      <c r="J48" s="194"/>
      <c r="K48" s="195"/>
      <c r="L48" s="194"/>
    </row>
    <row r="49" spans="1:12" s="233" customFormat="1" ht="15">
      <c r="A49" s="189" t="s">
        <v>21</v>
      </c>
      <c r="B49" s="188">
        <v>0.0033</v>
      </c>
      <c r="C49" s="187"/>
      <c r="D49" s="188"/>
      <c r="E49" s="188"/>
      <c r="F49" s="188"/>
      <c r="G49" s="187"/>
      <c r="H49" s="196"/>
      <c r="I49" s="194"/>
      <c r="J49" s="194"/>
      <c r="K49" s="195"/>
      <c r="L49" s="194"/>
    </row>
    <row r="50" spans="1:12" s="233" customFormat="1" ht="15">
      <c r="A50" s="189" t="s">
        <v>22</v>
      </c>
      <c r="B50" s="188">
        <f>B$49</f>
        <v>0.0033</v>
      </c>
      <c r="C50" s="187"/>
      <c r="D50" s="188"/>
      <c r="E50" s="188"/>
      <c r="F50" s="188"/>
      <c r="G50" s="187"/>
      <c r="H50" s="196"/>
      <c r="I50" s="194"/>
      <c r="J50" s="194"/>
      <c r="K50" s="195"/>
      <c r="L50" s="194"/>
    </row>
    <row r="51" spans="1:12" s="233" customFormat="1" ht="15">
      <c r="A51" s="189" t="s">
        <v>23</v>
      </c>
      <c r="B51" s="188">
        <f aca="true" t="shared" si="0" ref="B51:B56">B$49</f>
        <v>0.0033</v>
      </c>
      <c r="C51" s="187"/>
      <c r="D51" s="188"/>
      <c r="E51" s="188"/>
      <c r="F51" s="188"/>
      <c r="G51" s="187"/>
      <c r="H51" s="196"/>
      <c r="I51" s="194"/>
      <c r="J51" s="194"/>
      <c r="K51" s="195"/>
      <c r="L51" s="194"/>
    </row>
    <row r="52" spans="1:12" s="233" customFormat="1" ht="15">
      <c r="A52" s="189" t="s">
        <v>24</v>
      </c>
      <c r="B52" s="188">
        <f t="shared" si="0"/>
        <v>0.0033</v>
      </c>
      <c r="C52" s="187"/>
      <c r="D52" s="188"/>
      <c r="E52" s="188"/>
      <c r="F52" s="188"/>
      <c r="G52" s="187"/>
      <c r="H52" s="196"/>
      <c r="I52" s="194"/>
      <c r="J52" s="194"/>
      <c r="K52" s="195"/>
      <c r="L52" s="194"/>
    </row>
    <row r="53" spans="1:12" s="233" customFormat="1" ht="15">
      <c r="A53" s="189" t="s">
        <v>25</v>
      </c>
      <c r="B53" s="188">
        <f t="shared" si="0"/>
        <v>0.0033</v>
      </c>
      <c r="C53" s="187"/>
      <c r="D53" s="188"/>
      <c r="E53" s="188"/>
      <c r="F53" s="188"/>
      <c r="G53" s="187"/>
      <c r="H53" s="196"/>
      <c r="I53" s="194"/>
      <c r="J53" s="194"/>
      <c r="K53" s="195"/>
      <c r="L53" s="194"/>
    </row>
    <row r="54" spans="1:12" s="233" customFormat="1" ht="15">
      <c r="A54" s="189" t="s">
        <v>26</v>
      </c>
      <c r="B54" s="188">
        <f t="shared" si="0"/>
        <v>0.0033</v>
      </c>
      <c r="C54" s="187"/>
      <c r="D54" s="188"/>
      <c r="E54" s="188"/>
      <c r="F54" s="188"/>
      <c r="G54" s="187"/>
      <c r="H54" s="196"/>
      <c r="I54" s="194"/>
      <c r="J54" s="194"/>
      <c r="K54" s="195"/>
      <c r="L54" s="194"/>
    </row>
    <row r="55" spans="1:12" s="233" customFormat="1" ht="15">
      <c r="A55" s="189" t="s">
        <v>27</v>
      </c>
      <c r="B55" s="188">
        <f t="shared" si="0"/>
        <v>0.0033</v>
      </c>
      <c r="C55" s="187"/>
      <c r="D55" s="188"/>
      <c r="E55" s="188"/>
      <c r="F55" s="188"/>
      <c r="G55" s="187"/>
      <c r="H55" s="196"/>
      <c r="I55" s="194"/>
      <c r="J55" s="194"/>
      <c r="K55" s="195"/>
      <c r="L55" s="194"/>
    </row>
    <row r="56" spans="1:12" s="233" customFormat="1" ht="15">
      <c r="A56" s="189" t="s">
        <v>141</v>
      </c>
      <c r="B56" s="188">
        <f t="shared" si="0"/>
        <v>0.0033</v>
      </c>
      <c r="C56" s="187"/>
      <c r="D56" s="188"/>
      <c r="E56" s="188"/>
      <c r="F56" s="188"/>
      <c r="G56" s="187"/>
      <c r="H56" s="196"/>
      <c r="I56" s="194"/>
      <c r="J56" s="194"/>
      <c r="K56" s="195"/>
      <c r="L56" s="194"/>
    </row>
    <row r="57" spans="1:12" s="233" customFormat="1" ht="15">
      <c r="A57" s="224"/>
      <c r="B57" s="189"/>
      <c r="C57" s="187"/>
      <c r="D57" s="188"/>
      <c r="E57" s="188"/>
      <c r="F57" s="188"/>
      <c r="G57" s="187"/>
      <c r="H57" s="196"/>
      <c r="I57" s="194"/>
      <c r="J57" s="194"/>
      <c r="K57" s="195"/>
      <c r="L57" s="194"/>
    </row>
    <row r="58" spans="1:12" s="233" customFormat="1" ht="15.75">
      <c r="A58" s="185" t="s">
        <v>28</v>
      </c>
      <c r="B58" s="189"/>
      <c r="C58" s="187"/>
      <c r="D58" s="188"/>
      <c r="E58" s="188"/>
      <c r="F58" s="188"/>
      <c r="G58" s="187"/>
      <c r="H58" s="196"/>
      <c r="I58" s="194"/>
      <c r="J58" s="194"/>
      <c r="K58" s="195"/>
      <c r="L58" s="194"/>
    </row>
    <row r="59" spans="1:12" s="233" customFormat="1" ht="15">
      <c r="A59" s="189" t="s">
        <v>29</v>
      </c>
      <c r="B59" s="186">
        <v>0.194</v>
      </c>
      <c r="C59" s="187"/>
      <c r="D59" s="186"/>
      <c r="E59" s="188"/>
      <c r="F59" s="188"/>
      <c r="G59" s="187"/>
      <c r="H59" s="196"/>
      <c r="I59" s="194"/>
      <c r="J59" s="194"/>
      <c r="K59" s="236"/>
      <c r="L59" s="194"/>
    </row>
    <row r="60" spans="1:12" s="233" customFormat="1" ht="15">
      <c r="A60" s="189" t="s">
        <v>30</v>
      </c>
      <c r="B60" s="186">
        <v>0.0282</v>
      </c>
      <c r="C60" s="187"/>
      <c r="D60" s="186"/>
      <c r="E60" s="188"/>
      <c r="F60" s="188"/>
      <c r="G60" s="187"/>
      <c r="H60" s="196"/>
      <c r="I60" s="194"/>
      <c r="J60" s="194"/>
      <c r="K60" s="236"/>
      <c r="L60" s="194"/>
    </row>
    <row r="61" spans="1:12" s="233" customFormat="1" ht="15">
      <c r="A61" s="189" t="s">
        <v>31</v>
      </c>
      <c r="B61" s="186">
        <v>0.1969</v>
      </c>
      <c r="C61" s="187"/>
      <c r="D61" s="186"/>
      <c r="E61" s="188"/>
      <c r="F61" s="188"/>
      <c r="G61" s="187"/>
      <c r="H61" s="196"/>
      <c r="I61" s="194"/>
      <c r="J61" s="194"/>
      <c r="K61" s="236"/>
      <c r="L61" s="194"/>
    </row>
    <row r="62" spans="1:12" s="233" customFormat="1" ht="15">
      <c r="A62" s="189" t="s">
        <v>32</v>
      </c>
      <c r="B62" s="186">
        <v>0.6948</v>
      </c>
      <c r="C62" s="187"/>
      <c r="D62" s="186"/>
      <c r="E62" s="188"/>
      <c r="F62" s="188"/>
      <c r="G62" s="187"/>
      <c r="H62" s="196"/>
      <c r="I62" s="194"/>
      <c r="J62" s="194"/>
      <c r="K62" s="236"/>
      <c r="L62" s="194"/>
    </row>
    <row r="63" spans="1:12" s="233" customFormat="1" ht="15">
      <c r="A63" s="189"/>
      <c r="B63" s="188"/>
      <c r="C63" s="187"/>
      <c r="D63" s="188"/>
      <c r="E63" s="188"/>
      <c r="F63" s="188"/>
      <c r="G63" s="187"/>
      <c r="H63" s="196"/>
      <c r="I63" s="194"/>
      <c r="J63" s="194"/>
      <c r="K63" s="195"/>
      <c r="L63" s="194"/>
    </row>
    <row r="64" spans="1:12" s="233" customFormat="1" ht="15.75">
      <c r="A64" s="185" t="s">
        <v>33</v>
      </c>
      <c r="B64" s="190">
        <v>0.027</v>
      </c>
      <c r="C64" s="187"/>
      <c r="D64" s="191"/>
      <c r="E64" s="188"/>
      <c r="F64" s="191"/>
      <c r="G64" s="187"/>
      <c r="H64" s="196"/>
      <c r="I64" s="194"/>
      <c r="J64" s="194"/>
      <c r="K64" s="236"/>
      <c r="L64" s="194"/>
    </row>
    <row r="65" spans="1:12" s="233" customFormat="1" ht="15.75">
      <c r="A65" s="185"/>
      <c r="B65" s="191"/>
      <c r="C65" s="187"/>
      <c r="D65" s="191"/>
      <c r="E65" s="188"/>
      <c r="F65" s="188"/>
      <c r="G65" s="187"/>
      <c r="H65" s="196"/>
      <c r="I65" s="194"/>
      <c r="J65" s="194"/>
      <c r="K65" s="236"/>
      <c r="L65" s="194"/>
    </row>
    <row r="66" spans="1:12" s="233" customFormat="1" ht="15.75">
      <c r="A66" s="185" t="s">
        <v>34</v>
      </c>
      <c r="B66" s="190">
        <v>0.12</v>
      </c>
      <c r="C66" s="187"/>
      <c r="D66" s="191"/>
      <c r="E66" s="188"/>
      <c r="F66" s="188"/>
      <c r="G66" s="187"/>
      <c r="H66" s="196"/>
      <c r="I66" s="194"/>
      <c r="J66" s="194"/>
      <c r="K66" s="236"/>
      <c r="L66" s="194"/>
    </row>
    <row r="67" spans="1:12" s="233" customFormat="1" ht="15.75">
      <c r="A67" s="185"/>
      <c r="B67" s="189"/>
      <c r="C67" s="187"/>
      <c r="D67" s="188"/>
      <c r="E67" s="188"/>
      <c r="F67" s="188"/>
      <c r="G67" s="187"/>
      <c r="H67" s="196"/>
      <c r="I67" s="194"/>
      <c r="J67" s="194"/>
      <c r="K67" s="195"/>
      <c r="L67" s="194"/>
    </row>
    <row r="68" spans="1:12" s="233" customFormat="1" ht="15.75">
      <c r="A68" s="184" t="s">
        <v>35</v>
      </c>
      <c r="B68" s="192">
        <f>ROUND(B72/211.08*Consumer_Price_Index,4)</f>
        <v>0</v>
      </c>
      <c r="C68" s="193"/>
      <c r="D68" s="192"/>
      <c r="E68" s="189"/>
      <c r="F68" s="192"/>
      <c r="G68" s="187"/>
      <c r="H68" s="196"/>
      <c r="I68" s="194"/>
      <c r="J68" s="194"/>
      <c r="K68" s="237"/>
      <c r="L68" s="194"/>
    </row>
    <row r="69" spans="1:12" s="233" customFormat="1" ht="15.75">
      <c r="A69" s="184"/>
      <c r="B69" s="189"/>
      <c r="C69" s="187"/>
      <c r="D69" s="188"/>
      <c r="E69" s="188"/>
      <c r="F69" s="188"/>
      <c r="G69" s="187"/>
      <c r="H69" s="196"/>
      <c r="I69" s="194"/>
      <c r="J69" s="194"/>
      <c r="K69" s="238"/>
      <c r="L69" s="194"/>
    </row>
    <row r="70" spans="1:12" s="233" customFormat="1" ht="15.75">
      <c r="A70" s="185" t="s">
        <v>36</v>
      </c>
      <c r="B70" s="190">
        <v>0.035</v>
      </c>
      <c r="C70" s="187"/>
      <c r="D70" s="191"/>
      <c r="E70" s="191"/>
      <c r="F70" s="188"/>
      <c r="G70" s="187"/>
      <c r="H70" s="196"/>
      <c r="I70" s="194"/>
      <c r="J70" s="194"/>
      <c r="K70" s="238"/>
      <c r="L70" s="194"/>
    </row>
    <row r="71" spans="1:12" s="233" customFormat="1" ht="15">
      <c r="A71" s="194"/>
      <c r="B71" s="195"/>
      <c r="C71" s="196"/>
      <c r="D71" s="239"/>
      <c r="E71" s="239"/>
      <c r="F71" s="239"/>
      <c r="G71" s="196"/>
      <c r="H71" s="196"/>
      <c r="I71" s="194"/>
      <c r="J71" s="194"/>
      <c r="K71" s="238"/>
      <c r="L71" s="194"/>
    </row>
    <row r="72" spans="1:12" s="233" customFormat="1" ht="15.75">
      <c r="A72" s="184" t="s">
        <v>35</v>
      </c>
      <c r="B72" s="192">
        <v>0.1269</v>
      </c>
      <c r="C72" s="193"/>
      <c r="D72" s="188"/>
      <c r="E72" s="189"/>
      <c r="F72" s="188"/>
      <c r="G72" s="196"/>
      <c r="H72" s="196"/>
      <c r="I72" s="194"/>
      <c r="J72" s="194"/>
      <c r="K72" s="238"/>
      <c r="L72" s="194"/>
    </row>
    <row r="73" spans="1:12" s="233" customFormat="1" ht="15">
      <c r="A73" s="194"/>
      <c r="B73" s="195"/>
      <c r="C73" s="196"/>
      <c r="D73" s="239"/>
      <c r="E73" s="239"/>
      <c r="F73" s="239"/>
      <c r="G73" s="196"/>
      <c r="H73" s="196"/>
      <c r="I73" s="194"/>
      <c r="J73" s="194"/>
      <c r="K73" s="238"/>
      <c r="L73" s="194"/>
    </row>
    <row r="74" spans="1:11" s="233" customFormat="1" ht="15">
      <c r="A74" s="194"/>
      <c r="B74" s="195"/>
      <c r="C74" s="196"/>
      <c r="D74" s="239"/>
      <c r="E74" s="239"/>
      <c r="F74" s="239"/>
      <c r="G74" s="196"/>
      <c r="H74" s="196"/>
      <c r="I74" s="194"/>
      <c r="J74" s="194"/>
      <c r="K74" s="238"/>
    </row>
    <row r="75" spans="1:11" s="233" customFormat="1" ht="15">
      <c r="A75" s="194"/>
      <c r="B75" s="195"/>
      <c r="C75" s="196"/>
      <c r="D75" s="239"/>
      <c r="E75" s="239"/>
      <c r="F75" s="239"/>
      <c r="G75" s="196"/>
      <c r="H75" s="196"/>
      <c r="I75" s="194"/>
      <c r="J75" s="194"/>
      <c r="K75" s="194"/>
    </row>
    <row r="76" spans="1:11" s="233" customFormat="1" ht="15">
      <c r="A76" s="194" t="s">
        <v>175</v>
      </c>
      <c r="B76" s="195">
        <v>264.877</v>
      </c>
      <c r="C76" s="196"/>
      <c r="D76" s="239"/>
      <c r="E76" s="239"/>
      <c r="F76" s="239"/>
      <c r="G76" s="196"/>
      <c r="H76" s="196"/>
      <c r="I76" s="194"/>
      <c r="J76" s="194"/>
      <c r="K76" s="194"/>
    </row>
    <row r="77" spans="1:11" s="233" customFormat="1" ht="15">
      <c r="A77" s="194" t="s">
        <v>176</v>
      </c>
      <c r="B77" s="195">
        <f>Consumer_Price_Index</f>
        <v>0</v>
      </c>
      <c r="C77" s="196"/>
      <c r="D77" s="239"/>
      <c r="E77" s="239"/>
      <c r="F77" s="239"/>
      <c r="G77" s="196"/>
      <c r="H77" s="196"/>
      <c r="I77" s="194"/>
      <c r="J77" s="194"/>
      <c r="K77" s="194"/>
    </row>
    <row r="78" spans="1:11" s="233" customFormat="1" ht="15">
      <c r="A78" s="194" t="s">
        <v>177</v>
      </c>
      <c r="B78" s="240">
        <f>ROUND((B77-B76)/B76,6)</f>
        <v>-1</v>
      </c>
      <c r="C78" s="196"/>
      <c r="D78" s="239"/>
      <c r="E78" s="239"/>
      <c r="F78" s="239"/>
      <c r="G78" s="196"/>
      <c r="H78" s="196"/>
      <c r="I78" s="194"/>
      <c r="J78" s="194"/>
      <c r="K78" s="194"/>
    </row>
    <row r="79" spans="1:11" s="233" customFormat="1" ht="15">
      <c r="A79" s="194"/>
      <c r="B79" s="195"/>
      <c r="C79" s="196"/>
      <c r="D79" s="239"/>
      <c r="E79" s="239"/>
      <c r="F79" s="239"/>
      <c r="G79" s="196"/>
      <c r="H79" s="196"/>
      <c r="I79" s="194"/>
      <c r="J79" s="194"/>
      <c r="K79" s="194"/>
    </row>
    <row r="80" spans="1:11" s="233" customFormat="1" ht="15">
      <c r="A80" s="194"/>
      <c r="B80" s="195"/>
      <c r="C80" s="196"/>
      <c r="D80" s="239"/>
      <c r="E80" s="239"/>
      <c r="F80" s="239"/>
      <c r="G80" s="196"/>
      <c r="H80" s="196"/>
      <c r="I80" s="194"/>
      <c r="J80" s="194"/>
      <c r="K80" s="194"/>
    </row>
    <row r="81" spans="1:11" s="233" customFormat="1" ht="15">
      <c r="A81" s="194" t="s">
        <v>12</v>
      </c>
      <c r="B81" s="241">
        <v>0.5931</v>
      </c>
      <c r="C81" s="196"/>
      <c r="D81" s="240">
        <f>B$78</f>
        <v>-1</v>
      </c>
      <c r="E81" s="239">
        <f>ROUND(B81*(1+D81),4)</f>
        <v>0</v>
      </c>
      <c r="F81" s="239"/>
      <c r="G81" s="196"/>
      <c r="H81" s="196"/>
      <c r="I81" s="194"/>
      <c r="J81" s="194"/>
      <c r="K81" s="194"/>
    </row>
    <row r="82" spans="1:11" s="233" customFormat="1" ht="15">
      <c r="A82" s="194" t="s">
        <v>13</v>
      </c>
      <c r="B82" s="241">
        <v>0.39</v>
      </c>
      <c r="C82" s="196"/>
      <c r="D82" s="240">
        <f aca="true" t="shared" si="1" ref="D82:D89">B$78</f>
        <v>-1</v>
      </c>
      <c r="E82" s="239">
        <f aca="true" t="shared" si="2" ref="E82:E89">ROUND(B82*(1+D82),4)</f>
        <v>0</v>
      </c>
      <c r="F82" s="239"/>
      <c r="G82" s="196"/>
      <c r="H82" s="196"/>
      <c r="I82" s="194"/>
      <c r="J82" s="194"/>
      <c r="K82" s="194"/>
    </row>
    <row r="83" spans="1:11" s="233" customFormat="1" ht="15">
      <c r="A83" s="194" t="s">
        <v>14</v>
      </c>
      <c r="B83" s="241">
        <v>0.2228</v>
      </c>
      <c r="C83" s="196"/>
      <c r="D83" s="240">
        <f t="shared" si="1"/>
        <v>-1</v>
      </c>
      <c r="E83" s="239">
        <f t="shared" si="2"/>
        <v>0</v>
      </c>
      <c r="F83" s="239"/>
      <c r="G83" s="196"/>
      <c r="H83" s="196"/>
      <c r="I83" s="194"/>
      <c r="J83" s="194"/>
      <c r="K83" s="194"/>
    </row>
    <row r="84" spans="1:11" s="233" customFormat="1" ht="15">
      <c r="A84" s="194" t="s">
        <v>15</v>
      </c>
      <c r="B84" s="241">
        <v>0.181</v>
      </c>
      <c r="C84" s="196"/>
      <c r="D84" s="240">
        <f t="shared" si="1"/>
        <v>-1</v>
      </c>
      <c r="E84" s="239">
        <f t="shared" si="2"/>
        <v>0</v>
      </c>
      <c r="F84" s="239"/>
      <c r="G84" s="196"/>
      <c r="H84" s="196"/>
      <c r="I84" s="194"/>
      <c r="J84" s="194"/>
      <c r="K84" s="194"/>
    </row>
    <row r="85" spans="1:11" s="233" customFormat="1" ht="15">
      <c r="A85" s="194" t="s">
        <v>178</v>
      </c>
      <c r="B85" s="241">
        <v>0.1358</v>
      </c>
      <c r="C85" s="196"/>
      <c r="D85" s="240">
        <f t="shared" si="1"/>
        <v>-1</v>
      </c>
      <c r="E85" s="239">
        <f t="shared" si="2"/>
        <v>0</v>
      </c>
      <c r="F85" s="239"/>
      <c r="G85" s="196"/>
      <c r="H85" s="196"/>
      <c r="I85" s="194"/>
      <c r="J85" s="194"/>
      <c r="K85" s="194"/>
    </row>
    <row r="86" spans="1:11" s="233" customFormat="1" ht="15">
      <c r="A86" s="194" t="s">
        <v>179</v>
      </c>
      <c r="B86" s="241">
        <v>0.1131</v>
      </c>
      <c r="C86" s="196"/>
      <c r="D86" s="240">
        <f t="shared" si="1"/>
        <v>-1</v>
      </c>
      <c r="E86" s="239">
        <f t="shared" si="2"/>
        <v>0</v>
      </c>
      <c r="F86" s="239"/>
      <c r="G86" s="196"/>
      <c r="H86" s="196"/>
      <c r="I86" s="194"/>
      <c r="J86" s="194"/>
      <c r="K86" s="194"/>
    </row>
    <row r="87" spans="1:11" s="233" customFormat="1" ht="15">
      <c r="A87" s="194" t="s">
        <v>16</v>
      </c>
      <c r="B87" s="241">
        <v>0.1334</v>
      </c>
      <c r="C87" s="196"/>
      <c r="D87" s="240">
        <f t="shared" si="1"/>
        <v>-1</v>
      </c>
      <c r="E87" s="239">
        <f t="shared" si="2"/>
        <v>0</v>
      </c>
      <c r="F87" s="239"/>
      <c r="G87" s="196"/>
      <c r="H87" s="196"/>
      <c r="I87" s="194"/>
      <c r="J87" s="194"/>
      <c r="K87" s="194"/>
    </row>
    <row r="88" spans="1:11" s="233" customFormat="1" ht="15">
      <c r="A88" s="194" t="s">
        <v>17</v>
      </c>
      <c r="B88" s="241">
        <v>0.0667</v>
      </c>
      <c r="C88" s="196"/>
      <c r="D88" s="240">
        <f t="shared" si="1"/>
        <v>-1</v>
      </c>
      <c r="E88" s="239">
        <f t="shared" si="2"/>
        <v>0</v>
      </c>
      <c r="F88" s="239"/>
      <c r="G88" s="196"/>
      <c r="H88" s="196"/>
      <c r="I88" s="194"/>
      <c r="J88" s="194"/>
      <c r="K88" s="194"/>
    </row>
    <row r="89" spans="1:11" s="233" customFormat="1" ht="15">
      <c r="A89" s="194" t="s">
        <v>18</v>
      </c>
      <c r="B89" s="241">
        <v>0.2228</v>
      </c>
      <c r="C89" s="196"/>
      <c r="D89" s="240">
        <f t="shared" si="1"/>
        <v>-1</v>
      </c>
      <c r="E89" s="239">
        <f t="shared" si="2"/>
        <v>0</v>
      </c>
      <c r="F89" s="239"/>
      <c r="G89" s="196"/>
      <c r="H89" s="196"/>
      <c r="I89" s="194"/>
      <c r="J89" s="194"/>
      <c r="K89" s="194"/>
    </row>
    <row r="90" spans="1:11" s="233" customFormat="1" ht="15">
      <c r="A90" s="194"/>
      <c r="B90" s="196"/>
      <c r="C90" s="196"/>
      <c r="D90" s="239"/>
      <c r="E90" s="239"/>
      <c r="F90" s="239"/>
      <c r="G90" s="196"/>
      <c r="H90" s="196"/>
      <c r="I90" s="194"/>
      <c r="J90" s="194"/>
      <c r="K90" s="194"/>
    </row>
    <row r="91" spans="1:11" s="233" customFormat="1" ht="15">
      <c r="A91" s="194"/>
      <c r="B91" s="196"/>
      <c r="C91" s="196"/>
      <c r="D91" s="239"/>
      <c r="E91" s="239"/>
      <c r="F91" s="239"/>
      <c r="G91" s="196"/>
      <c r="H91" s="196"/>
      <c r="I91" s="194"/>
      <c r="J91" s="194"/>
      <c r="K91" s="194"/>
    </row>
    <row r="92" spans="1:11" s="233" customFormat="1" ht="15">
      <c r="A92" s="194"/>
      <c r="B92" s="196"/>
      <c r="C92" s="196"/>
      <c r="D92" s="239"/>
      <c r="E92" s="239"/>
      <c r="F92" s="239"/>
      <c r="G92" s="196"/>
      <c r="H92" s="196"/>
      <c r="I92" s="194"/>
      <c r="J92" s="194"/>
      <c r="K92" s="194"/>
    </row>
    <row r="93" spans="1:11" s="233" customFormat="1" ht="15">
      <c r="A93" s="194"/>
      <c r="B93" s="196"/>
      <c r="C93" s="196"/>
      <c r="D93" s="239"/>
      <c r="E93" s="239"/>
      <c r="F93" s="239"/>
      <c r="G93" s="196"/>
      <c r="H93" s="196"/>
      <c r="I93" s="194"/>
      <c r="J93" s="194"/>
      <c r="K93" s="194"/>
    </row>
    <row r="94" spans="1:11" s="233" customFormat="1" ht="15">
      <c r="A94" s="194"/>
      <c r="B94" s="196"/>
      <c r="C94" s="196"/>
      <c r="D94" s="239"/>
      <c r="E94" s="239"/>
      <c r="F94" s="239"/>
      <c r="G94" s="196"/>
      <c r="H94" s="196"/>
      <c r="I94" s="194"/>
      <c r="J94" s="194"/>
      <c r="K94" s="194"/>
    </row>
    <row r="95" spans="1:11" s="233" customFormat="1" ht="15">
      <c r="A95" s="194"/>
      <c r="B95" s="196"/>
      <c r="C95" s="196"/>
      <c r="D95" s="239"/>
      <c r="E95" s="239"/>
      <c r="F95" s="239"/>
      <c r="G95" s="196"/>
      <c r="H95" s="196"/>
      <c r="I95" s="194"/>
      <c r="J95" s="194"/>
      <c r="K95" s="194"/>
    </row>
    <row r="96" spans="1:11" s="233" customFormat="1" ht="15">
      <c r="A96" s="194"/>
      <c r="B96" s="196"/>
      <c r="C96" s="196"/>
      <c r="D96" s="239"/>
      <c r="E96" s="239"/>
      <c r="F96" s="239"/>
      <c r="G96" s="196"/>
      <c r="H96" s="196"/>
      <c r="I96" s="194"/>
      <c r="J96" s="194"/>
      <c r="K96" s="194"/>
    </row>
    <row r="97" spans="1:11" s="233" customFormat="1" ht="15">
      <c r="A97" s="194"/>
      <c r="B97" s="196"/>
      <c r="C97" s="196"/>
      <c r="D97" s="239"/>
      <c r="E97" s="239"/>
      <c r="F97" s="239"/>
      <c r="G97" s="196"/>
      <c r="H97" s="196"/>
      <c r="I97" s="194"/>
      <c r="J97" s="194"/>
      <c r="K97" s="194"/>
    </row>
    <row r="98" spans="1:11" s="233" customFormat="1" ht="15">
      <c r="A98" s="194"/>
      <c r="B98" s="196"/>
      <c r="C98" s="196"/>
      <c r="D98" s="239"/>
      <c r="E98" s="239"/>
      <c r="F98" s="239"/>
      <c r="G98" s="196"/>
      <c r="H98" s="196"/>
      <c r="I98" s="194"/>
      <c r="J98" s="194"/>
      <c r="K98" s="194"/>
    </row>
    <row r="99" spans="1:11" s="233" customFormat="1" ht="15">
      <c r="A99" s="194"/>
      <c r="B99" s="196"/>
      <c r="C99" s="196"/>
      <c r="D99" s="239"/>
      <c r="E99" s="239"/>
      <c r="F99" s="239"/>
      <c r="G99" s="196"/>
      <c r="H99" s="196"/>
      <c r="I99" s="194"/>
      <c r="J99" s="194"/>
      <c r="K99" s="194"/>
    </row>
    <row r="100" spans="1:11" s="233" customFormat="1" ht="15">
      <c r="A100" s="194"/>
      <c r="B100" s="196"/>
      <c r="C100" s="196"/>
      <c r="D100" s="239"/>
      <c r="E100" s="239"/>
      <c r="F100" s="239"/>
      <c r="G100" s="196"/>
      <c r="H100" s="196"/>
      <c r="I100" s="194"/>
      <c r="J100" s="194"/>
      <c r="K100" s="194"/>
    </row>
    <row r="101" spans="1:11" s="233" customFormat="1" ht="15">
      <c r="A101" s="194"/>
      <c r="B101" s="196"/>
      <c r="C101" s="196"/>
      <c r="D101" s="239"/>
      <c r="E101" s="239"/>
      <c r="F101" s="239"/>
      <c r="G101" s="196"/>
      <c r="H101" s="196"/>
      <c r="I101" s="194"/>
      <c r="J101" s="194"/>
      <c r="K101" s="194"/>
    </row>
    <row r="102" spans="1:11" s="233" customFormat="1" ht="15">
      <c r="A102" s="194"/>
      <c r="B102" s="196"/>
      <c r="C102" s="196"/>
      <c r="D102" s="239"/>
      <c r="E102" s="239"/>
      <c r="F102" s="239"/>
      <c r="G102" s="196"/>
      <c r="H102" s="196"/>
      <c r="I102" s="194"/>
      <c r="J102" s="194"/>
      <c r="K102" s="194"/>
    </row>
    <row r="103" spans="1:11" s="233" customFormat="1" ht="15">
      <c r="A103" s="194"/>
      <c r="B103" s="196"/>
      <c r="C103" s="196"/>
      <c r="D103" s="239"/>
      <c r="E103" s="239"/>
      <c r="F103" s="239"/>
      <c r="G103" s="196"/>
      <c r="H103" s="196"/>
      <c r="I103" s="194"/>
      <c r="J103" s="194"/>
      <c r="K103" s="194"/>
    </row>
    <row r="104" spans="1:11" s="233" customFormat="1" ht="15">
      <c r="A104" s="194"/>
      <c r="B104" s="196"/>
      <c r="C104" s="196"/>
      <c r="D104" s="239"/>
      <c r="E104" s="239"/>
      <c r="F104" s="239"/>
      <c r="G104" s="196"/>
      <c r="H104" s="196"/>
      <c r="I104" s="194"/>
      <c r="J104" s="194"/>
      <c r="K104" s="194"/>
    </row>
    <row r="105" spans="1:11" s="233" customFormat="1" ht="15">
      <c r="A105" s="194"/>
      <c r="B105" s="196"/>
      <c r="C105" s="196"/>
      <c r="D105" s="239"/>
      <c r="E105" s="239"/>
      <c r="F105" s="239"/>
      <c r="G105" s="196"/>
      <c r="H105" s="196"/>
      <c r="I105" s="194"/>
      <c r="J105" s="194"/>
      <c r="K105" s="194"/>
    </row>
    <row r="106" spans="1:11" s="233" customFormat="1" ht="15">
      <c r="A106" s="194"/>
      <c r="B106" s="196"/>
      <c r="C106" s="196"/>
      <c r="D106" s="239"/>
      <c r="E106" s="239"/>
      <c r="F106" s="239"/>
      <c r="G106" s="196"/>
      <c r="H106" s="196"/>
      <c r="I106" s="194"/>
      <c r="J106" s="194"/>
      <c r="K106" s="194"/>
    </row>
    <row r="107" spans="1:11" s="233" customFormat="1" ht="15">
      <c r="A107" s="194"/>
      <c r="B107" s="196"/>
      <c r="C107" s="196"/>
      <c r="D107" s="239"/>
      <c r="E107" s="239"/>
      <c r="F107" s="239"/>
      <c r="G107" s="196"/>
      <c r="H107" s="196"/>
      <c r="I107" s="194"/>
      <c r="J107" s="194"/>
      <c r="K107" s="194"/>
    </row>
    <row r="108" spans="1:11" s="233" customFormat="1" ht="15">
      <c r="A108" s="194"/>
      <c r="B108" s="196"/>
      <c r="C108" s="196"/>
      <c r="D108" s="239"/>
      <c r="E108" s="239"/>
      <c r="F108" s="239"/>
      <c r="G108" s="196"/>
      <c r="H108" s="196"/>
      <c r="I108" s="194"/>
      <c r="J108" s="194"/>
      <c r="K108" s="194"/>
    </row>
    <row r="109" spans="1:11" s="233" customFormat="1" ht="15">
      <c r="A109" s="194"/>
      <c r="B109" s="196"/>
      <c r="C109" s="196"/>
      <c r="D109" s="239"/>
      <c r="E109" s="239"/>
      <c r="F109" s="239"/>
      <c r="G109" s="196"/>
      <c r="H109" s="196"/>
      <c r="I109" s="194"/>
      <c r="J109" s="194"/>
      <c r="K109" s="194"/>
    </row>
    <row r="110" spans="1:11" s="233" customFormat="1" ht="15">
      <c r="A110" s="194"/>
      <c r="B110" s="196"/>
      <c r="C110" s="196"/>
      <c r="D110" s="239"/>
      <c r="E110" s="239"/>
      <c r="F110" s="239"/>
      <c r="G110" s="196"/>
      <c r="H110" s="196"/>
      <c r="I110" s="194"/>
      <c r="J110" s="194"/>
      <c r="K110" s="194"/>
    </row>
    <row r="111" spans="1:11" s="233" customFormat="1" ht="15">
      <c r="A111" s="194"/>
      <c r="B111" s="196"/>
      <c r="C111" s="196"/>
      <c r="D111" s="239"/>
      <c r="E111" s="239"/>
      <c r="F111" s="239"/>
      <c r="G111" s="196"/>
      <c r="H111" s="196"/>
      <c r="I111" s="194"/>
      <c r="J111" s="194"/>
      <c r="K111" s="194"/>
    </row>
    <row r="112" spans="1:11" s="233" customFormat="1" ht="15">
      <c r="A112" s="194"/>
      <c r="B112" s="196"/>
      <c r="C112" s="196"/>
      <c r="D112" s="239"/>
      <c r="E112" s="239"/>
      <c r="F112" s="239"/>
      <c r="G112" s="196"/>
      <c r="H112" s="196"/>
      <c r="I112" s="194"/>
      <c r="J112" s="194"/>
      <c r="K112" s="194"/>
    </row>
    <row r="113" spans="1:11" s="233" customFormat="1" ht="15">
      <c r="A113" s="194"/>
      <c r="B113" s="196"/>
      <c r="C113" s="196"/>
      <c r="D113" s="239"/>
      <c r="E113" s="239"/>
      <c r="F113" s="239"/>
      <c r="G113" s="196"/>
      <c r="H113" s="196"/>
      <c r="I113" s="194"/>
      <c r="J113" s="194"/>
      <c r="K113" s="194"/>
    </row>
    <row r="114" spans="1:11" s="233" customFormat="1" ht="15">
      <c r="A114" s="194"/>
      <c r="B114" s="196"/>
      <c r="C114" s="196"/>
      <c r="D114" s="239"/>
      <c r="E114" s="239"/>
      <c r="F114" s="239"/>
      <c r="G114" s="196"/>
      <c r="H114" s="196"/>
      <c r="I114" s="194"/>
      <c r="J114" s="194"/>
      <c r="K114" s="194"/>
    </row>
    <row r="115" spans="1:11" s="233" customFormat="1" ht="15">
      <c r="A115" s="194"/>
      <c r="B115" s="196"/>
      <c r="C115" s="196"/>
      <c r="D115" s="239"/>
      <c r="E115" s="239"/>
      <c r="F115" s="239"/>
      <c r="G115" s="196"/>
      <c r="H115" s="196"/>
      <c r="I115" s="194"/>
      <c r="J115" s="194"/>
      <c r="K115" s="194"/>
    </row>
    <row r="116" spans="1:11" s="233" customFormat="1" ht="15">
      <c r="A116" s="194"/>
      <c r="B116" s="196"/>
      <c r="C116" s="196"/>
      <c r="D116" s="195"/>
      <c r="E116" s="195"/>
      <c r="F116" s="195"/>
      <c r="G116" s="196"/>
      <c r="H116" s="196"/>
      <c r="I116" s="194"/>
      <c r="J116" s="194"/>
      <c r="K116" s="194"/>
    </row>
    <row r="117" spans="1:11" s="233" customFormat="1" ht="15">
      <c r="A117" s="194"/>
      <c r="B117" s="196"/>
      <c r="C117" s="196"/>
      <c r="D117" s="195"/>
      <c r="E117" s="195"/>
      <c r="F117" s="195"/>
      <c r="G117" s="196"/>
      <c r="H117" s="196"/>
      <c r="I117" s="194"/>
      <c r="J117" s="194"/>
      <c r="K117" s="194"/>
    </row>
    <row r="118" spans="1:11" s="233" customFormat="1" ht="12.75">
      <c r="A118" s="194"/>
      <c r="B118" s="196"/>
      <c r="C118" s="196"/>
      <c r="D118" s="196"/>
      <c r="E118" s="196"/>
      <c r="F118" s="196"/>
      <c r="G118" s="196"/>
      <c r="H118" s="196"/>
      <c r="I118" s="194"/>
      <c r="J118" s="194"/>
      <c r="K118" s="194"/>
    </row>
    <row r="119" spans="1:11" s="233" customFormat="1" ht="12.75">
      <c r="A119" s="194"/>
      <c r="B119" s="196"/>
      <c r="C119" s="196"/>
      <c r="D119" s="196"/>
      <c r="E119" s="196"/>
      <c r="F119" s="196"/>
      <c r="G119" s="196"/>
      <c r="H119" s="196"/>
      <c r="I119" s="194"/>
      <c r="J119" s="194"/>
      <c r="K119" s="194"/>
    </row>
    <row r="120" spans="1:11" s="233" customFormat="1" ht="12.75">
      <c r="A120" s="194"/>
      <c r="B120" s="196"/>
      <c r="C120" s="196"/>
      <c r="D120" s="196"/>
      <c r="E120" s="196"/>
      <c r="F120" s="196"/>
      <c r="G120" s="196"/>
      <c r="H120" s="196"/>
      <c r="I120" s="194"/>
      <c r="J120" s="194"/>
      <c r="K120" s="194"/>
    </row>
    <row r="121" spans="1:11" s="233" customFormat="1" ht="12.75">
      <c r="A121" s="194"/>
      <c r="B121" s="196"/>
      <c r="C121" s="196"/>
      <c r="D121" s="196"/>
      <c r="E121" s="196"/>
      <c r="F121" s="196"/>
      <c r="G121" s="196"/>
      <c r="H121" s="196"/>
      <c r="I121" s="194"/>
      <c r="J121" s="194"/>
      <c r="K121" s="194"/>
    </row>
    <row r="122" spans="1:11" s="233" customFormat="1" ht="12.75">
      <c r="A122" s="194"/>
      <c r="B122" s="196"/>
      <c r="C122" s="196"/>
      <c r="D122" s="196"/>
      <c r="E122" s="196"/>
      <c r="F122" s="196"/>
      <c r="G122" s="196"/>
      <c r="H122" s="196"/>
      <c r="I122" s="194"/>
      <c r="J122" s="194"/>
      <c r="K122" s="194"/>
    </row>
    <row r="123" spans="1:11" s="233" customFormat="1" ht="12.75">
      <c r="A123" s="194"/>
      <c r="B123" s="196"/>
      <c r="C123" s="196"/>
      <c r="D123" s="196"/>
      <c r="E123" s="196"/>
      <c r="F123" s="196"/>
      <c r="G123" s="196"/>
      <c r="H123" s="196"/>
      <c r="I123" s="194"/>
      <c r="J123" s="194"/>
      <c r="K123" s="194"/>
    </row>
    <row r="124" spans="1:11" s="233" customFormat="1" ht="12.75">
      <c r="A124" s="194"/>
      <c r="B124" s="196"/>
      <c r="C124" s="196"/>
      <c r="D124" s="196"/>
      <c r="E124" s="196"/>
      <c r="F124" s="196"/>
      <c r="G124" s="196"/>
      <c r="H124" s="196"/>
      <c r="I124" s="194"/>
      <c r="J124" s="194"/>
      <c r="K124" s="194"/>
    </row>
    <row r="125" spans="1:11" s="233" customFormat="1" ht="12.75">
      <c r="A125" s="194"/>
      <c r="B125" s="196"/>
      <c r="C125" s="196"/>
      <c r="D125" s="196"/>
      <c r="E125" s="196"/>
      <c r="F125" s="196"/>
      <c r="G125" s="196"/>
      <c r="H125" s="196"/>
      <c r="I125" s="194"/>
      <c r="J125" s="194"/>
      <c r="K125" s="194"/>
    </row>
    <row r="126" spans="1:11" s="233" customFormat="1" ht="12.75">
      <c r="A126" s="194"/>
      <c r="B126" s="196"/>
      <c r="C126" s="196"/>
      <c r="D126" s="196"/>
      <c r="E126" s="196"/>
      <c r="F126" s="196"/>
      <c r="G126" s="196"/>
      <c r="H126" s="196"/>
      <c r="I126" s="194"/>
      <c r="J126" s="194"/>
      <c r="K126" s="194"/>
    </row>
    <row r="127" spans="1:11" s="233" customFormat="1" ht="12.75">
      <c r="A127" s="194"/>
      <c r="B127" s="196"/>
      <c r="C127" s="196"/>
      <c r="D127" s="196"/>
      <c r="E127" s="196"/>
      <c r="F127" s="196"/>
      <c r="G127" s="196"/>
      <c r="H127" s="196"/>
      <c r="I127" s="194"/>
      <c r="J127" s="194"/>
      <c r="K127" s="194"/>
    </row>
    <row r="128" spans="1:11" s="233" customFormat="1" ht="12.75">
      <c r="A128" s="194"/>
      <c r="B128" s="196"/>
      <c r="C128" s="196"/>
      <c r="D128" s="196"/>
      <c r="E128" s="196"/>
      <c r="F128" s="196"/>
      <c r="G128" s="196"/>
      <c r="H128" s="196"/>
      <c r="I128" s="194"/>
      <c r="J128" s="194"/>
      <c r="K128" s="194"/>
    </row>
    <row r="129" spans="1:11" s="233" customFormat="1" ht="12.75">
      <c r="A129" s="194"/>
      <c r="B129" s="196"/>
      <c r="C129" s="196"/>
      <c r="D129" s="196"/>
      <c r="E129" s="196"/>
      <c r="F129" s="196"/>
      <c r="G129" s="196"/>
      <c r="H129" s="196"/>
      <c r="I129" s="194"/>
      <c r="J129" s="194"/>
      <c r="K129" s="194"/>
    </row>
    <row r="130" spans="1:11" s="233" customFormat="1" ht="12.75">
      <c r="A130" s="194"/>
      <c r="B130" s="196"/>
      <c r="C130" s="196"/>
      <c r="D130" s="196"/>
      <c r="E130" s="196"/>
      <c r="F130" s="196"/>
      <c r="G130" s="196"/>
      <c r="H130" s="196"/>
      <c r="I130" s="194"/>
      <c r="J130" s="194"/>
      <c r="K130" s="194"/>
    </row>
    <row r="131" spans="1:11" s="233" customFormat="1" ht="12.75">
      <c r="A131" s="194"/>
      <c r="B131" s="196"/>
      <c r="C131" s="196"/>
      <c r="D131" s="196"/>
      <c r="E131" s="196"/>
      <c r="F131" s="196"/>
      <c r="G131" s="196"/>
      <c r="H131" s="196"/>
      <c r="I131" s="194"/>
      <c r="J131" s="194"/>
      <c r="K131" s="194"/>
    </row>
    <row r="132" spans="1:11" s="233" customFormat="1" ht="12.75">
      <c r="A132" s="194"/>
      <c r="B132" s="196"/>
      <c r="C132" s="196"/>
      <c r="D132" s="196"/>
      <c r="E132" s="196"/>
      <c r="F132" s="196"/>
      <c r="G132" s="196"/>
      <c r="H132" s="196"/>
      <c r="I132" s="194"/>
      <c r="J132" s="194"/>
      <c r="K132" s="194"/>
    </row>
    <row r="133" spans="1:11" s="233" customFormat="1" ht="12.75">
      <c r="A133" s="194"/>
      <c r="B133" s="196"/>
      <c r="C133" s="196"/>
      <c r="D133" s="196"/>
      <c r="E133" s="196"/>
      <c r="F133" s="196"/>
      <c r="G133" s="196"/>
      <c r="H133" s="196"/>
      <c r="I133" s="194"/>
      <c r="J133" s="194"/>
      <c r="K133" s="194"/>
    </row>
    <row r="134" spans="1:11" s="233" customFormat="1" ht="12.75">
      <c r="A134" s="194"/>
      <c r="B134" s="196"/>
      <c r="C134" s="196"/>
      <c r="D134" s="196"/>
      <c r="E134" s="196"/>
      <c r="F134" s="196"/>
      <c r="G134" s="196"/>
      <c r="H134" s="196"/>
      <c r="I134" s="194"/>
      <c r="J134" s="194"/>
      <c r="K134" s="194"/>
    </row>
    <row r="135" spans="1:11" s="233" customFormat="1" ht="12.75">
      <c r="A135" s="194"/>
      <c r="B135" s="196"/>
      <c r="C135" s="196"/>
      <c r="D135" s="196"/>
      <c r="E135" s="196"/>
      <c r="F135" s="196"/>
      <c r="G135" s="196"/>
      <c r="H135" s="196"/>
      <c r="I135" s="194"/>
      <c r="J135" s="194"/>
      <c r="K135" s="194"/>
    </row>
    <row r="136" spans="1:11" s="233" customFormat="1" ht="12.75">
      <c r="A136" s="194"/>
      <c r="B136" s="196"/>
      <c r="C136" s="196"/>
      <c r="D136" s="196"/>
      <c r="E136" s="196"/>
      <c r="F136" s="196"/>
      <c r="G136" s="196"/>
      <c r="H136" s="196"/>
      <c r="I136" s="194"/>
      <c r="J136" s="194"/>
      <c r="K136" s="194"/>
    </row>
    <row r="137" spans="1:11" s="233" customFormat="1" ht="12.75">
      <c r="A137" s="194"/>
      <c r="B137" s="196"/>
      <c r="C137" s="196"/>
      <c r="D137" s="196"/>
      <c r="E137" s="196"/>
      <c r="F137" s="196"/>
      <c r="G137" s="196"/>
      <c r="H137" s="196"/>
      <c r="I137" s="194"/>
      <c r="J137" s="194"/>
      <c r="K137" s="194"/>
    </row>
    <row r="138" spans="1:11" s="233" customFormat="1" ht="12.75">
      <c r="A138" s="194"/>
      <c r="B138" s="196"/>
      <c r="C138" s="196"/>
      <c r="D138" s="196"/>
      <c r="E138" s="196"/>
      <c r="F138" s="196"/>
      <c r="G138" s="196"/>
      <c r="H138" s="196"/>
      <c r="I138" s="194"/>
      <c r="J138" s="194"/>
      <c r="K138" s="194"/>
    </row>
    <row r="139" spans="1:11" s="233" customFormat="1" ht="12.75">
      <c r="A139" s="194"/>
      <c r="B139" s="196"/>
      <c r="C139" s="196"/>
      <c r="D139" s="196"/>
      <c r="E139" s="196"/>
      <c r="F139" s="196"/>
      <c r="G139" s="196"/>
      <c r="H139" s="196"/>
      <c r="I139" s="194"/>
      <c r="J139" s="194"/>
      <c r="K139" s="194"/>
    </row>
    <row r="140" spans="1:11" s="233" customFormat="1" ht="12.75">
      <c r="A140" s="194"/>
      <c r="B140" s="196"/>
      <c r="C140" s="196"/>
      <c r="D140" s="196"/>
      <c r="E140" s="196"/>
      <c r="F140" s="196"/>
      <c r="G140" s="196"/>
      <c r="H140" s="196"/>
      <c r="I140" s="194"/>
      <c r="J140" s="194"/>
      <c r="K140" s="194"/>
    </row>
    <row r="141" spans="1:11" s="233" customFormat="1" ht="12.75">
      <c r="A141" s="194"/>
      <c r="B141" s="196"/>
      <c r="C141" s="196"/>
      <c r="D141" s="196"/>
      <c r="E141" s="196"/>
      <c r="F141" s="196"/>
      <c r="G141" s="196"/>
      <c r="H141" s="196"/>
      <c r="I141" s="194"/>
      <c r="J141" s="194"/>
      <c r="K141" s="194"/>
    </row>
    <row r="142" spans="1:11" s="233" customFormat="1" ht="12.75">
      <c r="A142" s="194"/>
      <c r="B142" s="196"/>
      <c r="C142" s="196"/>
      <c r="D142" s="196"/>
      <c r="E142" s="196"/>
      <c r="F142" s="196"/>
      <c r="G142" s="196"/>
      <c r="H142" s="196"/>
      <c r="I142" s="194"/>
      <c r="J142" s="194"/>
      <c r="K142" s="194"/>
    </row>
    <row r="143" spans="1:11" s="233" customFormat="1" ht="12.75">
      <c r="A143" s="194"/>
      <c r="B143" s="196"/>
      <c r="C143" s="196"/>
      <c r="D143" s="196"/>
      <c r="E143" s="196"/>
      <c r="F143" s="196"/>
      <c r="G143" s="196"/>
      <c r="H143" s="196"/>
      <c r="I143" s="194"/>
      <c r="J143" s="194"/>
      <c r="K143" s="194"/>
    </row>
    <row r="144" spans="1:11" s="233" customFormat="1" ht="12.75">
      <c r="A144" s="194"/>
      <c r="B144" s="196"/>
      <c r="C144" s="196"/>
      <c r="D144" s="196"/>
      <c r="E144" s="196"/>
      <c r="F144" s="196"/>
      <c r="G144" s="196"/>
      <c r="H144" s="196"/>
      <c r="I144" s="194"/>
      <c r="J144" s="194"/>
      <c r="K144" s="194"/>
    </row>
    <row r="145" spans="1:11" s="233" customFormat="1" ht="12.75">
      <c r="A145" s="194"/>
      <c r="B145" s="196"/>
      <c r="C145" s="196"/>
      <c r="D145" s="196"/>
      <c r="E145" s="196"/>
      <c r="F145" s="196"/>
      <c r="G145" s="196"/>
      <c r="H145" s="196"/>
      <c r="I145" s="194"/>
      <c r="J145" s="194"/>
      <c r="K145" s="194"/>
    </row>
    <row r="146" spans="1:11" s="233" customFormat="1" ht="12.75">
      <c r="A146" s="194"/>
      <c r="B146" s="196"/>
      <c r="C146" s="196"/>
      <c r="D146" s="196"/>
      <c r="E146" s="196"/>
      <c r="F146" s="196"/>
      <c r="G146" s="196"/>
      <c r="H146" s="196"/>
      <c r="I146" s="194"/>
      <c r="J146" s="194"/>
      <c r="K146" s="194"/>
    </row>
    <row r="147" spans="1:11" s="233" customFormat="1" ht="12.75">
      <c r="A147" s="194"/>
      <c r="B147" s="196"/>
      <c r="C147" s="196"/>
      <c r="D147" s="196"/>
      <c r="E147" s="196"/>
      <c r="F147" s="196"/>
      <c r="G147" s="196"/>
      <c r="H147" s="196"/>
      <c r="I147" s="194"/>
      <c r="J147" s="194"/>
      <c r="K147" s="194"/>
    </row>
    <row r="148" spans="1:11" s="233" customFormat="1" ht="12.75">
      <c r="A148" s="194"/>
      <c r="B148" s="196"/>
      <c r="C148" s="196"/>
      <c r="D148" s="196"/>
      <c r="E148" s="196"/>
      <c r="F148" s="196"/>
      <c r="G148" s="196"/>
      <c r="H148" s="196"/>
      <c r="I148" s="194"/>
      <c r="J148" s="194"/>
      <c r="K148" s="194"/>
    </row>
    <row r="149" spans="1:11" s="233" customFormat="1" ht="12.75">
      <c r="A149" s="194"/>
      <c r="B149" s="196"/>
      <c r="C149" s="196"/>
      <c r="D149" s="196"/>
      <c r="E149" s="196"/>
      <c r="F149" s="196"/>
      <c r="G149" s="196"/>
      <c r="H149" s="196"/>
      <c r="I149" s="194"/>
      <c r="J149" s="194"/>
      <c r="K149" s="194"/>
    </row>
    <row r="150" spans="1:11" s="233" customFormat="1" ht="12.75">
      <c r="A150" s="194"/>
      <c r="B150" s="196"/>
      <c r="C150" s="196"/>
      <c r="D150" s="196"/>
      <c r="E150" s="196"/>
      <c r="F150" s="196"/>
      <c r="G150" s="196"/>
      <c r="H150" s="196"/>
      <c r="I150" s="194"/>
      <c r="J150" s="194"/>
      <c r="K150" s="194"/>
    </row>
    <row r="151" spans="1:11" s="233" customFormat="1" ht="12.75">
      <c r="A151" s="194"/>
      <c r="B151" s="196"/>
      <c r="C151" s="196"/>
      <c r="D151" s="196"/>
      <c r="E151" s="196"/>
      <c r="F151" s="196"/>
      <c r="G151" s="196"/>
      <c r="H151" s="196"/>
      <c r="I151" s="194"/>
      <c r="J151" s="194"/>
      <c r="K151" s="194"/>
    </row>
    <row r="152" spans="1:11" ht="12.75">
      <c r="A152" s="198"/>
      <c r="B152" s="222"/>
      <c r="C152" s="222"/>
      <c r="D152" s="222"/>
      <c r="E152" s="222"/>
      <c r="F152" s="222"/>
      <c r="G152" s="222"/>
      <c r="H152" s="222"/>
      <c r="I152" s="198"/>
      <c r="J152" s="198"/>
      <c r="K152" s="198"/>
    </row>
    <row r="153" spans="1:11" ht="12.75">
      <c r="A153" s="198"/>
      <c r="B153" s="222"/>
      <c r="C153" s="222"/>
      <c r="D153" s="222"/>
      <c r="E153" s="222"/>
      <c r="F153" s="222"/>
      <c r="G153" s="222"/>
      <c r="H153" s="222"/>
      <c r="I153" s="198"/>
      <c r="J153" s="198"/>
      <c r="K153" s="198"/>
    </row>
    <row r="154" spans="1:11" ht="12.75">
      <c r="A154" s="198"/>
      <c r="B154" s="222"/>
      <c r="C154" s="222"/>
      <c r="D154" s="222"/>
      <c r="E154" s="222"/>
      <c r="F154" s="222"/>
      <c r="G154" s="222"/>
      <c r="H154" s="222"/>
      <c r="I154" s="198"/>
      <c r="J154" s="198"/>
      <c r="K154" s="198"/>
    </row>
    <row r="155" spans="1:11" ht="12.75">
      <c r="A155" s="198"/>
      <c r="B155" s="222"/>
      <c r="C155" s="222"/>
      <c r="D155" s="222"/>
      <c r="E155" s="222"/>
      <c r="F155" s="222"/>
      <c r="G155" s="222"/>
      <c r="H155" s="222"/>
      <c r="I155" s="198"/>
      <c r="J155" s="198"/>
      <c r="K155" s="198"/>
    </row>
    <row r="156" spans="1:11" ht="12.75">
      <c r="A156" s="198"/>
      <c r="B156" s="222"/>
      <c r="C156" s="222"/>
      <c r="D156" s="222"/>
      <c r="E156" s="222"/>
      <c r="F156" s="222"/>
      <c r="G156" s="222"/>
      <c r="H156" s="222"/>
      <c r="I156" s="198"/>
      <c r="J156" s="198"/>
      <c r="K156" s="198"/>
    </row>
    <row r="157" spans="1:11" ht="12.75">
      <c r="A157" s="198"/>
      <c r="B157" s="222"/>
      <c r="C157" s="222"/>
      <c r="D157" s="222"/>
      <c r="E157" s="222"/>
      <c r="F157" s="222"/>
      <c r="G157" s="222"/>
      <c r="H157" s="222"/>
      <c r="I157" s="198"/>
      <c r="J157" s="198"/>
      <c r="K157" s="198"/>
    </row>
    <row r="158" spans="1:11" ht="12.75">
      <c r="A158" s="198"/>
      <c r="B158" s="222"/>
      <c r="C158" s="222"/>
      <c r="D158" s="222"/>
      <c r="E158" s="222"/>
      <c r="F158" s="222"/>
      <c r="G158" s="222"/>
      <c r="H158" s="222"/>
      <c r="I158" s="198"/>
      <c r="J158" s="198"/>
      <c r="K158" s="198"/>
    </row>
    <row r="159" spans="1:11" ht="12.75">
      <c r="A159" s="198"/>
      <c r="B159" s="222"/>
      <c r="C159" s="222"/>
      <c r="D159" s="222"/>
      <c r="E159" s="222"/>
      <c r="F159" s="222"/>
      <c r="G159" s="222"/>
      <c r="H159" s="222"/>
      <c r="I159" s="198"/>
      <c r="J159" s="198"/>
      <c r="K159" s="198"/>
    </row>
    <row r="160" spans="1:11" ht="12.75">
      <c r="A160" s="198"/>
      <c r="B160" s="222"/>
      <c r="C160" s="222"/>
      <c r="D160" s="222"/>
      <c r="E160" s="222"/>
      <c r="F160" s="222"/>
      <c r="G160" s="222"/>
      <c r="H160" s="222"/>
      <c r="I160" s="198"/>
      <c r="J160" s="198"/>
      <c r="K160" s="198"/>
    </row>
    <row r="161" spans="1:11" ht="12.75">
      <c r="A161" s="198"/>
      <c r="B161" s="222"/>
      <c r="C161" s="222"/>
      <c r="D161" s="222"/>
      <c r="E161" s="222"/>
      <c r="F161" s="222"/>
      <c r="G161" s="222"/>
      <c r="H161" s="222"/>
      <c r="I161" s="198"/>
      <c r="J161" s="198"/>
      <c r="K161" s="198"/>
    </row>
    <row r="162" spans="1:11" ht="12.75">
      <c r="A162" s="198"/>
      <c r="B162" s="222"/>
      <c r="C162" s="222"/>
      <c r="D162" s="222"/>
      <c r="E162" s="222"/>
      <c r="F162" s="222"/>
      <c r="G162" s="222"/>
      <c r="H162" s="222"/>
      <c r="I162" s="198"/>
      <c r="J162" s="198"/>
      <c r="K162" s="198"/>
    </row>
    <row r="163" spans="1:11" ht="12.75">
      <c r="A163" s="198"/>
      <c r="B163" s="222"/>
      <c r="C163" s="222"/>
      <c r="D163" s="222"/>
      <c r="E163" s="222"/>
      <c r="F163" s="222"/>
      <c r="G163" s="222"/>
      <c r="H163" s="222"/>
      <c r="I163" s="198"/>
      <c r="J163" s="198"/>
      <c r="K163" s="198"/>
    </row>
    <row r="164" spans="1:11" ht="12.75">
      <c r="A164" s="198"/>
      <c r="B164" s="222"/>
      <c r="C164" s="222"/>
      <c r="D164" s="222"/>
      <c r="E164" s="222"/>
      <c r="F164" s="222"/>
      <c r="G164" s="222"/>
      <c r="H164" s="222"/>
      <c r="I164" s="198"/>
      <c r="J164" s="198"/>
      <c r="K164" s="198"/>
    </row>
    <row r="165" spans="1:11" ht="12.75">
      <c r="A165" s="198"/>
      <c r="B165" s="222"/>
      <c r="C165" s="222"/>
      <c r="D165" s="222"/>
      <c r="E165" s="222"/>
      <c r="F165" s="222"/>
      <c r="G165" s="222"/>
      <c r="H165" s="222"/>
      <c r="I165" s="198"/>
      <c r="J165" s="198"/>
      <c r="K165" s="198"/>
    </row>
    <row r="166" spans="1:11" ht="12.75">
      <c r="A166" s="198"/>
      <c r="B166" s="222"/>
      <c r="C166" s="222"/>
      <c r="D166" s="222"/>
      <c r="E166" s="222"/>
      <c r="F166" s="222"/>
      <c r="G166" s="222"/>
      <c r="H166" s="222"/>
      <c r="I166" s="198"/>
      <c r="J166" s="198"/>
      <c r="K166" s="198"/>
    </row>
    <row r="167" spans="1:11" ht="12.75">
      <c r="A167" s="198"/>
      <c r="B167" s="222"/>
      <c r="C167" s="222"/>
      <c r="D167" s="222"/>
      <c r="E167" s="222"/>
      <c r="F167" s="222"/>
      <c r="G167" s="222"/>
      <c r="H167" s="222"/>
      <c r="I167" s="198"/>
      <c r="J167" s="198"/>
      <c r="K167" s="198"/>
    </row>
    <row r="168" spans="1:11" ht="12.75">
      <c r="A168" s="198"/>
      <c r="B168" s="222"/>
      <c r="C168" s="222"/>
      <c r="D168" s="222"/>
      <c r="E168" s="222"/>
      <c r="F168" s="222"/>
      <c r="G168" s="222"/>
      <c r="H168" s="222"/>
      <c r="I168" s="198"/>
      <c r="J168" s="198"/>
      <c r="K168" s="198"/>
    </row>
    <row r="169" spans="1:11" ht="12.75">
      <c r="A169" s="198"/>
      <c r="B169" s="222"/>
      <c r="C169" s="222"/>
      <c r="D169" s="222"/>
      <c r="E169" s="222"/>
      <c r="F169" s="222"/>
      <c r="G169" s="222"/>
      <c r="H169" s="222"/>
      <c r="I169" s="198"/>
      <c r="J169" s="198"/>
      <c r="K169" s="198"/>
    </row>
    <row r="170" spans="1:11" ht="12.75">
      <c r="A170" s="198"/>
      <c r="B170" s="222"/>
      <c r="C170" s="222"/>
      <c r="D170" s="222"/>
      <c r="E170" s="222"/>
      <c r="F170" s="222"/>
      <c r="G170" s="222"/>
      <c r="H170" s="222"/>
      <c r="I170" s="198"/>
      <c r="J170" s="198"/>
      <c r="K170" s="198"/>
    </row>
    <row r="171" spans="1:11" ht="12.75">
      <c r="A171" s="198"/>
      <c r="B171" s="222"/>
      <c r="C171" s="222"/>
      <c r="D171" s="222"/>
      <c r="E171" s="222"/>
      <c r="F171" s="222"/>
      <c r="G171" s="222"/>
      <c r="H171" s="222"/>
      <c r="I171" s="198"/>
      <c r="J171" s="198"/>
      <c r="K171" s="198"/>
    </row>
    <row r="172" spans="1:11" ht="12.75">
      <c r="A172" s="198"/>
      <c r="B172" s="222"/>
      <c r="C172" s="222"/>
      <c r="D172" s="222"/>
      <c r="E172" s="222"/>
      <c r="F172" s="222"/>
      <c r="G172" s="222"/>
      <c r="H172" s="222"/>
      <c r="I172" s="198"/>
      <c r="J172" s="198"/>
      <c r="K172" s="198"/>
    </row>
    <row r="173" spans="1:11" ht="12.75">
      <c r="A173" s="198"/>
      <c r="B173" s="222"/>
      <c r="C173" s="222"/>
      <c r="D173" s="222"/>
      <c r="E173" s="222"/>
      <c r="F173" s="222"/>
      <c r="G173" s="222"/>
      <c r="H173" s="222"/>
      <c r="I173" s="198"/>
      <c r="J173" s="198"/>
      <c r="K173" s="198"/>
    </row>
    <row r="174" spans="1:11" ht="12.75">
      <c r="A174" s="198"/>
      <c r="B174" s="222"/>
      <c r="C174" s="222"/>
      <c r="D174" s="222"/>
      <c r="E174" s="222"/>
      <c r="F174" s="222"/>
      <c r="G174" s="222"/>
      <c r="H174" s="222"/>
      <c r="I174" s="198"/>
      <c r="J174" s="198"/>
      <c r="K174" s="198"/>
    </row>
    <row r="175" spans="1:11" ht="12.75">
      <c r="A175" s="198"/>
      <c r="B175" s="222"/>
      <c r="C175" s="222"/>
      <c r="D175" s="222"/>
      <c r="E175" s="222"/>
      <c r="F175" s="222"/>
      <c r="G175" s="222"/>
      <c r="H175" s="222"/>
      <c r="I175" s="198"/>
      <c r="J175" s="198"/>
      <c r="K175" s="198"/>
    </row>
    <row r="176" spans="1:11" ht="12.75">
      <c r="A176" s="198"/>
      <c r="B176" s="222"/>
      <c r="C176" s="222"/>
      <c r="D176" s="222"/>
      <c r="E176" s="222"/>
      <c r="F176" s="222"/>
      <c r="G176" s="222"/>
      <c r="H176" s="222"/>
      <c r="I176" s="198"/>
      <c r="J176" s="198"/>
      <c r="K176" s="198"/>
    </row>
    <row r="177" spans="1:11" ht="12.75">
      <c r="A177" s="198"/>
      <c r="B177" s="222"/>
      <c r="C177" s="222"/>
      <c r="D177" s="222"/>
      <c r="E177" s="222"/>
      <c r="F177" s="222"/>
      <c r="G177" s="222"/>
      <c r="H177" s="222"/>
      <c r="I177" s="198"/>
      <c r="J177" s="198"/>
      <c r="K177" s="198"/>
    </row>
    <row r="178" spans="1:11" ht="12.75">
      <c r="A178" s="198"/>
      <c r="B178" s="222"/>
      <c r="C178" s="222"/>
      <c r="D178" s="222"/>
      <c r="E178" s="222"/>
      <c r="F178" s="222"/>
      <c r="G178" s="222"/>
      <c r="H178" s="222"/>
      <c r="I178" s="198"/>
      <c r="J178" s="198"/>
      <c r="K178" s="198"/>
    </row>
    <row r="179" spans="1:11" ht="12.75">
      <c r="A179" s="198"/>
      <c r="B179" s="222"/>
      <c r="C179" s="222"/>
      <c r="D179" s="222"/>
      <c r="E179" s="222"/>
      <c r="F179" s="222"/>
      <c r="G179" s="222"/>
      <c r="H179" s="222"/>
      <c r="I179" s="198"/>
      <c r="J179" s="198"/>
      <c r="K179" s="198"/>
    </row>
    <row r="180" spans="1:11" ht="12.75">
      <c r="A180" s="198"/>
      <c r="B180" s="222"/>
      <c r="C180" s="222"/>
      <c r="D180" s="222"/>
      <c r="E180" s="222"/>
      <c r="F180" s="222"/>
      <c r="G180" s="222"/>
      <c r="H180" s="222"/>
      <c r="I180" s="198"/>
      <c r="J180" s="198"/>
      <c r="K180" s="198"/>
    </row>
    <row r="181" spans="1:11" ht="12.75">
      <c r="A181" s="198"/>
      <c r="B181" s="222"/>
      <c r="C181" s="222"/>
      <c r="D181" s="222"/>
      <c r="E181" s="222"/>
      <c r="F181" s="222"/>
      <c r="G181" s="222"/>
      <c r="H181" s="222"/>
      <c r="I181" s="198"/>
      <c r="J181" s="198"/>
      <c r="K181" s="198"/>
    </row>
    <row r="182" spans="1:11" ht="12.75">
      <c r="A182" s="198"/>
      <c r="B182" s="222"/>
      <c r="C182" s="222"/>
      <c r="D182" s="222"/>
      <c r="E182" s="222"/>
      <c r="F182" s="222"/>
      <c r="G182" s="222"/>
      <c r="H182" s="222"/>
      <c r="I182" s="198"/>
      <c r="J182" s="198"/>
      <c r="K182" s="198"/>
    </row>
    <row r="183" spans="1:11" ht="12.75">
      <c r="A183" s="198"/>
      <c r="B183" s="222"/>
      <c r="C183" s="222"/>
      <c r="D183" s="222"/>
      <c r="E183" s="222"/>
      <c r="F183" s="222"/>
      <c r="G183" s="222"/>
      <c r="H183" s="222"/>
      <c r="I183" s="198"/>
      <c r="J183" s="198"/>
      <c r="K183" s="198"/>
    </row>
    <row r="184" spans="1:11" ht="12.75">
      <c r="A184" s="198"/>
      <c r="B184" s="222"/>
      <c r="C184" s="222"/>
      <c r="D184" s="222"/>
      <c r="E184" s="222"/>
      <c r="F184" s="222"/>
      <c r="G184" s="222"/>
      <c r="H184" s="222"/>
      <c r="I184" s="198"/>
      <c r="J184" s="198"/>
      <c r="K184" s="198"/>
    </row>
    <row r="185" spans="1:11" ht="12.75">
      <c r="A185" s="198"/>
      <c r="B185" s="222"/>
      <c r="C185" s="222"/>
      <c r="D185" s="222"/>
      <c r="E185" s="222"/>
      <c r="F185" s="222"/>
      <c r="G185" s="222"/>
      <c r="H185" s="222"/>
      <c r="I185" s="198"/>
      <c r="J185" s="198"/>
      <c r="K185" s="198"/>
    </row>
    <row r="186" spans="1:11" ht="12.75">
      <c r="A186" s="198"/>
      <c r="B186" s="222"/>
      <c r="C186" s="222"/>
      <c r="D186" s="222"/>
      <c r="E186" s="222"/>
      <c r="F186" s="222"/>
      <c r="G186" s="222"/>
      <c r="H186" s="222"/>
      <c r="I186" s="198"/>
      <c r="J186" s="198"/>
      <c r="K186" s="198"/>
    </row>
    <row r="187" spans="1:11" ht="12.75">
      <c r="A187" s="198"/>
      <c r="B187" s="222"/>
      <c r="C187" s="222"/>
      <c r="D187" s="222"/>
      <c r="E187" s="222"/>
      <c r="F187" s="222"/>
      <c r="G187" s="222"/>
      <c r="H187" s="222"/>
      <c r="I187" s="198"/>
      <c r="J187" s="198"/>
      <c r="K187" s="198"/>
    </row>
    <row r="188" spans="1:11" ht="12.75">
      <c r="A188" s="198"/>
      <c r="B188" s="222"/>
      <c r="C188" s="222"/>
      <c r="D188" s="222"/>
      <c r="E188" s="222"/>
      <c r="F188" s="222"/>
      <c r="G188" s="222"/>
      <c r="H188" s="222"/>
      <c r="I188" s="198"/>
      <c r="J188" s="198"/>
      <c r="K188" s="198"/>
    </row>
    <row r="189" spans="1:11" ht="12.75">
      <c r="A189" s="198"/>
      <c r="B189" s="222"/>
      <c r="C189" s="222"/>
      <c r="D189" s="222"/>
      <c r="E189" s="222"/>
      <c r="F189" s="222"/>
      <c r="G189" s="222"/>
      <c r="H189" s="222"/>
      <c r="I189" s="198"/>
      <c r="J189" s="198"/>
      <c r="K189" s="198"/>
    </row>
    <row r="190" spans="1:11" ht="12.75">
      <c r="A190" s="198"/>
      <c r="B190" s="222"/>
      <c r="C190" s="222"/>
      <c r="D190" s="222"/>
      <c r="E190" s="222"/>
      <c r="F190" s="222"/>
      <c r="G190" s="222"/>
      <c r="H190" s="222"/>
      <c r="I190" s="198"/>
      <c r="J190" s="198"/>
      <c r="K190" s="198"/>
    </row>
    <row r="191" spans="1:11" ht="12.75">
      <c r="A191" s="198"/>
      <c r="B191" s="222"/>
      <c r="C191" s="222"/>
      <c r="D191" s="222"/>
      <c r="E191" s="222"/>
      <c r="F191" s="222"/>
      <c r="G191" s="222"/>
      <c r="H191" s="222"/>
      <c r="I191" s="198"/>
      <c r="J191" s="198"/>
      <c r="K191" s="198"/>
    </row>
    <row r="192" spans="1:11" ht="12.75">
      <c r="A192" s="198"/>
      <c r="B192" s="222"/>
      <c r="C192" s="222"/>
      <c r="D192" s="222"/>
      <c r="E192" s="222"/>
      <c r="F192" s="222"/>
      <c r="G192" s="222"/>
      <c r="H192" s="222"/>
      <c r="I192" s="198"/>
      <c r="J192" s="198"/>
      <c r="K192" s="198"/>
    </row>
    <row r="193" spans="1:11" ht="12.75">
      <c r="A193" s="198"/>
      <c r="B193" s="222"/>
      <c r="C193" s="222"/>
      <c r="D193" s="222"/>
      <c r="E193" s="222"/>
      <c r="F193" s="222"/>
      <c r="G193" s="222"/>
      <c r="H193" s="222"/>
      <c r="I193" s="198"/>
      <c r="J193" s="198"/>
      <c r="K193" s="198"/>
    </row>
    <row r="194" spans="1:11" ht="12.75">
      <c r="A194" s="198"/>
      <c r="B194" s="222"/>
      <c r="C194" s="222"/>
      <c r="D194" s="222"/>
      <c r="E194" s="222"/>
      <c r="F194" s="222"/>
      <c r="G194" s="222"/>
      <c r="H194" s="222"/>
      <c r="I194" s="198"/>
      <c r="J194" s="198"/>
      <c r="K194" s="198"/>
    </row>
    <row r="195" spans="1:11" ht="12.75">
      <c r="A195" s="198"/>
      <c r="B195" s="222"/>
      <c r="C195" s="222"/>
      <c r="D195" s="222"/>
      <c r="E195" s="222"/>
      <c r="F195" s="222"/>
      <c r="G195" s="222"/>
      <c r="H195" s="222"/>
      <c r="I195" s="198"/>
      <c r="J195" s="198"/>
      <c r="K195" s="198"/>
    </row>
    <row r="196" spans="1:11" ht="12.75">
      <c r="A196" s="198"/>
      <c r="B196" s="222"/>
      <c r="C196" s="222"/>
      <c r="D196" s="222"/>
      <c r="E196" s="222"/>
      <c r="F196" s="222"/>
      <c r="G196" s="222"/>
      <c r="H196" s="222"/>
      <c r="I196" s="198"/>
      <c r="J196" s="198"/>
      <c r="K196" s="198"/>
    </row>
    <row r="197" spans="1:11" ht="12.75">
      <c r="A197" s="198"/>
      <c r="B197" s="222"/>
      <c r="C197" s="222"/>
      <c r="D197" s="222"/>
      <c r="E197" s="222"/>
      <c r="F197" s="222"/>
      <c r="G197" s="222"/>
      <c r="H197" s="222"/>
      <c r="I197" s="198"/>
      <c r="J197" s="198"/>
      <c r="K197" s="198"/>
    </row>
    <row r="198" spans="1:11" ht="12.75">
      <c r="A198" s="198"/>
      <c r="B198" s="222"/>
      <c r="C198" s="222"/>
      <c r="D198" s="222"/>
      <c r="E198" s="222"/>
      <c r="F198" s="222"/>
      <c r="G198" s="222"/>
      <c r="H198" s="222"/>
      <c r="I198" s="198"/>
      <c r="J198" s="198"/>
      <c r="K198" s="198"/>
    </row>
    <row r="199" spans="1:11" ht="12.75">
      <c r="A199" s="198"/>
      <c r="B199" s="222"/>
      <c r="C199" s="222"/>
      <c r="D199" s="222"/>
      <c r="E199" s="222"/>
      <c r="F199" s="222"/>
      <c r="G199" s="222"/>
      <c r="H199" s="222"/>
      <c r="I199" s="198"/>
      <c r="J199" s="198"/>
      <c r="K199" s="198"/>
    </row>
    <row r="200" spans="1:11" ht="12.75">
      <c r="A200" s="198"/>
      <c r="B200" s="222"/>
      <c r="C200" s="222"/>
      <c r="D200" s="222"/>
      <c r="E200" s="222"/>
      <c r="F200" s="222"/>
      <c r="G200" s="222"/>
      <c r="H200" s="222"/>
      <c r="I200" s="198"/>
      <c r="J200" s="198"/>
      <c r="K200" s="198"/>
    </row>
    <row r="201" spans="1:11" ht="12.75">
      <c r="A201" s="198"/>
      <c r="B201" s="222"/>
      <c r="C201" s="222"/>
      <c r="D201" s="222"/>
      <c r="E201" s="222"/>
      <c r="F201" s="222"/>
      <c r="G201" s="222"/>
      <c r="H201" s="222"/>
      <c r="I201" s="198"/>
      <c r="J201" s="198"/>
      <c r="K201" s="198"/>
    </row>
    <row r="202" spans="1:11" ht="12.75">
      <c r="A202" s="198"/>
      <c r="B202" s="222"/>
      <c r="C202" s="222"/>
      <c r="D202" s="222"/>
      <c r="E202" s="222"/>
      <c r="F202" s="222"/>
      <c r="G202" s="222"/>
      <c r="H202" s="222"/>
      <c r="I202" s="198"/>
      <c r="J202" s="198"/>
      <c r="K202" s="198"/>
    </row>
    <row r="203" spans="1:11" ht="12.75">
      <c r="A203" s="198"/>
      <c r="B203" s="222"/>
      <c r="C203" s="222"/>
      <c r="D203" s="222"/>
      <c r="E203" s="222"/>
      <c r="F203" s="222"/>
      <c r="G203" s="222"/>
      <c r="H203" s="222"/>
      <c r="I203" s="198"/>
      <c r="J203" s="198"/>
      <c r="K203" s="198"/>
    </row>
    <row r="204" spans="1:11" ht="12.75">
      <c r="A204" s="198"/>
      <c r="B204" s="222"/>
      <c r="C204" s="222"/>
      <c r="D204" s="222"/>
      <c r="E204" s="222"/>
      <c r="F204" s="222"/>
      <c r="G204" s="222"/>
      <c r="H204" s="222"/>
      <c r="I204" s="198"/>
      <c r="J204" s="198"/>
      <c r="K204" s="198"/>
    </row>
    <row r="205" spans="1:11" ht="12.75">
      <c r="A205" s="198"/>
      <c r="B205" s="222"/>
      <c r="C205" s="222"/>
      <c r="D205" s="222"/>
      <c r="E205" s="222"/>
      <c r="F205" s="222"/>
      <c r="G205" s="222"/>
      <c r="H205" s="222"/>
      <c r="I205" s="198"/>
      <c r="J205" s="198"/>
      <c r="K205" s="198"/>
    </row>
    <row r="206" spans="1:11" ht="12.75">
      <c r="A206" s="198"/>
      <c r="B206" s="222"/>
      <c r="C206" s="222"/>
      <c r="D206" s="222"/>
      <c r="E206" s="222"/>
      <c r="F206" s="222"/>
      <c r="G206" s="222"/>
      <c r="H206" s="222"/>
      <c r="I206" s="198"/>
      <c r="J206" s="198"/>
      <c r="K206" s="198"/>
    </row>
    <row r="207" spans="1:11" ht="12.75">
      <c r="A207" s="198"/>
      <c r="B207" s="222"/>
      <c r="C207" s="222"/>
      <c r="D207" s="222"/>
      <c r="E207" s="222"/>
      <c r="F207" s="222"/>
      <c r="G207" s="222"/>
      <c r="H207" s="222"/>
      <c r="I207" s="198"/>
      <c r="J207" s="198"/>
      <c r="K207" s="198"/>
    </row>
    <row r="208" spans="1:11" ht="12.75">
      <c r="A208" s="198"/>
      <c r="B208" s="222"/>
      <c r="C208" s="222"/>
      <c r="D208" s="222"/>
      <c r="E208" s="222"/>
      <c r="F208" s="222"/>
      <c r="G208" s="222"/>
      <c r="H208" s="222"/>
      <c r="I208" s="198"/>
      <c r="J208" s="198"/>
      <c r="K208" s="198"/>
    </row>
    <row r="209" spans="1:11" ht="12.75">
      <c r="A209" s="198"/>
      <c r="B209" s="222"/>
      <c r="C209" s="222"/>
      <c r="D209" s="222"/>
      <c r="E209" s="222"/>
      <c r="F209" s="222"/>
      <c r="G209" s="222"/>
      <c r="H209" s="222"/>
      <c r="I209" s="198"/>
      <c r="J209" s="198"/>
      <c r="K209" s="198"/>
    </row>
    <row r="210" spans="1:11" ht="12.75">
      <c r="A210" s="198"/>
      <c r="B210" s="222"/>
      <c r="C210" s="222"/>
      <c r="D210" s="222"/>
      <c r="E210" s="222"/>
      <c r="F210" s="222"/>
      <c r="G210" s="222"/>
      <c r="H210" s="222"/>
      <c r="I210" s="198"/>
      <c r="J210" s="198"/>
      <c r="K210" s="198"/>
    </row>
    <row r="211" spans="1:11" ht="12.75">
      <c r="A211" s="198"/>
      <c r="B211" s="222"/>
      <c r="C211" s="222"/>
      <c r="D211" s="222"/>
      <c r="E211" s="222"/>
      <c r="F211" s="222"/>
      <c r="G211" s="222"/>
      <c r="H211" s="222"/>
      <c r="I211" s="198"/>
      <c r="J211" s="198"/>
      <c r="K211" s="198"/>
    </row>
    <row r="212" spans="1:11" ht="12.75">
      <c r="A212" s="198"/>
      <c r="B212" s="222"/>
      <c r="C212" s="222"/>
      <c r="D212" s="222"/>
      <c r="E212" s="222"/>
      <c r="F212" s="222"/>
      <c r="G212" s="222"/>
      <c r="H212" s="222"/>
      <c r="I212" s="198"/>
      <c r="J212" s="198"/>
      <c r="K212" s="198"/>
    </row>
    <row r="213" spans="1:11" ht="12.75">
      <c r="A213" s="198"/>
      <c r="B213" s="222"/>
      <c r="C213" s="222"/>
      <c r="D213" s="222"/>
      <c r="E213" s="222"/>
      <c r="F213" s="222"/>
      <c r="G213" s="222"/>
      <c r="H213" s="222"/>
      <c r="I213" s="198"/>
      <c r="J213" s="198"/>
      <c r="K213" s="198"/>
    </row>
    <row r="214" spans="1:11" ht="12.75">
      <c r="A214" s="198"/>
      <c r="B214" s="222"/>
      <c r="C214" s="222"/>
      <c r="D214" s="222"/>
      <c r="E214" s="222"/>
      <c r="F214" s="222"/>
      <c r="G214" s="222"/>
      <c r="H214" s="222"/>
      <c r="I214" s="198"/>
      <c r="J214" s="198"/>
      <c r="K214" s="198"/>
    </row>
    <row r="215" spans="1:11" ht="12.75">
      <c r="A215" s="198"/>
      <c r="B215" s="222"/>
      <c r="C215" s="222"/>
      <c r="D215" s="222"/>
      <c r="E215" s="222"/>
      <c r="F215" s="222"/>
      <c r="G215" s="222"/>
      <c r="H215" s="222"/>
      <c r="I215" s="198"/>
      <c r="J215" s="198"/>
      <c r="K215" s="198"/>
    </row>
    <row r="216" spans="1:11" ht="12.75">
      <c r="A216" s="198"/>
      <c r="B216" s="222"/>
      <c r="C216" s="222"/>
      <c r="D216" s="222"/>
      <c r="E216" s="222"/>
      <c r="F216" s="222"/>
      <c r="G216" s="222"/>
      <c r="H216" s="222"/>
      <c r="I216" s="198"/>
      <c r="J216" s="198"/>
      <c r="K216" s="198"/>
    </row>
    <row r="217" spans="1:11" ht="12.75">
      <c r="A217" s="198"/>
      <c r="B217" s="222"/>
      <c r="C217" s="222"/>
      <c r="D217" s="222"/>
      <c r="E217" s="222"/>
      <c r="F217" s="222"/>
      <c r="G217" s="222"/>
      <c r="H217" s="222"/>
      <c r="I217" s="198"/>
      <c r="J217" s="198"/>
      <c r="K217" s="198"/>
    </row>
    <row r="218" spans="1:11" ht="12.75">
      <c r="A218" s="198"/>
      <c r="B218" s="222"/>
      <c r="C218" s="222"/>
      <c r="D218" s="222"/>
      <c r="E218" s="222"/>
      <c r="F218" s="222"/>
      <c r="G218" s="222"/>
      <c r="H218" s="222"/>
      <c r="I218" s="198"/>
      <c r="J218" s="198"/>
      <c r="K218" s="198"/>
    </row>
    <row r="219" spans="1:11" ht="12.75">
      <c r="A219" s="198"/>
      <c r="B219" s="222"/>
      <c r="C219" s="222"/>
      <c r="D219" s="222"/>
      <c r="E219" s="222"/>
      <c r="F219" s="222"/>
      <c r="G219" s="222"/>
      <c r="H219" s="222"/>
      <c r="I219" s="198"/>
      <c r="J219" s="198"/>
      <c r="K219" s="198"/>
    </row>
    <row r="220" spans="1:11" ht="12.75">
      <c r="A220" s="198"/>
      <c r="B220" s="222"/>
      <c r="C220" s="222"/>
      <c r="D220" s="222"/>
      <c r="E220" s="222"/>
      <c r="F220" s="222"/>
      <c r="G220" s="222"/>
      <c r="H220" s="222"/>
      <c r="I220" s="198"/>
      <c r="J220" s="198"/>
      <c r="K220" s="198"/>
    </row>
    <row r="221" spans="1:11" ht="12.75">
      <c r="A221" s="198"/>
      <c r="B221" s="222"/>
      <c r="C221" s="222"/>
      <c r="D221" s="222"/>
      <c r="E221" s="222"/>
      <c r="F221" s="222"/>
      <c r="G221" s="222"/>
      <c r="H221" s="222"/>
      <c r="I221" s="198"/>
      <c r="J221" s="198"/>
      <c r="K221" s="198"/>
    </row>
    <row r="222" spans="1:11" ht="12.75">
      <c r="A222" s="198"/>
      <c r="B222" s="222"/>
      <c r="C222" s="222"/>
      <c r="D222" s="222"/>
      <c r="E222" s="222"/>
      <c r="F222" s="222"/>
      <c r="G222" s="222"/>
      <c r="H222" s="222"/>
      <c r="I222" s="198"/>
      <c r="J222" s="198"/>
      <c r="K222" s="198"/>
    </row>
    <row r="223" spans="1:11" ht="12.75">
      <c r="A223" s="198"/>
      <c r="B223" s="222"/>
      <c r="C223" s="222"/>
      <c r="D223" s="222"/>
      <c r="E223" s="222"/>
      <c r="F223" s="222"/>
      <c r="G223" s="222"/>
      <c r="H223" s="222"/>
      <c r="I223" s="198"/>
      <c r="J223" s="198"/>
      <c r="K223" s="198"/>
    </row>
    <row r="224" spans="1:11" ht="12.75">
      <c r="A224" s="198"/>
      <c r="B224" s="222"/>
      <c r="C224" s="222"/>
      <c r="D224" s="222"/>
      <c r="E224" s="222"/>
      <c r="F224" s="222"/>
      <c r="G224" s="222"/>
      <c r="H224" s="222"/>
      <c r="I224" s="198"/>
      <c r="J224" s="198"/>
      <c r="K224" s="198"/>
    </row>
    <row r="225" spans="1:11" ht="12.75">
      <c r="A225" s="198"/>
      <c r="B225" s="222"/>
      <c r="C225" s="222"/>
      <c r="D225" s="222"/>
      <c r="E225" s="222"/>
      <c r="F225" s="222"/>
      <c r="G225" s="222"/>
      <c r="H225" s="222"/>
      <c r="I225" s="198"/>
      <c r="J225" s="198"/>
      <c r="K225" s="198"/>
    </row>
    <row r="226" spans="1:11" ht="12.75">
      <c r="A226" s="198"/>
      <c r="B226" s="222"/>
      <c r="C226" s="222"/>
      <c r="D226" s="222"/>
      <c r="E226" s="222"/>
      <c r="F226" s="222"/>
      <c r="G226" s="222"/>
      <c r="H226" s="222"/>
      <c r="I226" s="198"/>
      <c r="J226" s="198"/>
      <c r="K226" s="198"/>
    </row>
    <row r="227" spans="1:11" ht="12.75">
      <c r="A227" s="198"/>
      <c r="B227" s="222"/>
      <c r="C227" s="222"/>
      <c r="D227" s="222"/>
      <c r="E227" s="222"/>
      <c r="F227" s="222"/>
      <c r="G227" s="222"/>
      <c r="H227" s="222"/>
      <c r="I227" s="198"/>
      <c r="J227" s="198"/>
      <c r="K227" s="198"/>
    </row>
    <row r="228" spans="1:11" ht="12.75">
      <c r="A228" s="198"/>
      <c r="B228" s="222"/>
      <c r="C228" s="222"/>
      <c r="D228" s="222"/>
      <c r="E228" s="222"/>
      <c r="F228" s="222"/>
      <c r="G228" s="222"/>
      <c r="H228" s="222"/>
      <c r="I228" s="198"/>
      <c r="J228" s="198"/>
      <c r="K228" s="198"/>
    </row>
    <row r="229" spans="1:11" ht="12.75">
      <c r="A229" s="198"/>
      <c r="B229" s="222"/>
      <c r="C229" s="222"/>
      <c r="D229" s="222"/>
      <c r="E229" s="222"/>
      <c r="F229" s="222"/>
      <c r="G229" s="222"/>
      <c r="H229" s="222"/>
      <c r="I229" s="198"/>
      <c r="J229" s="198"/>
      <c r="K229" s="198"/>
    </row>
    <row r="230" spans="1:11" ht="12.75">
      <c r="A230" s="198"/>
      <c r="B230" s="222"/>
      <c r="C230" s="222"/>
      <c r="D230" s="222"/>
      <c r="E230" s="222"/>
      <c r="F230" s="222"/>
      <c r="G230" s="222"/>
      <c r="H230" s="222"/>
      <c r="I230" s="198"/>
      <c r="J230" s="198"/>
      <c r="K230" s="198"/>
    </row>
    <row r="231" spans="1:11" ht="12.75">
      <c r="A231" s="198"/>
      <c r="B231" s="222"/>
      <c r="C231" s="222"/>
      <c r="D231" s="222"/>
      <c r="E231" s="222"/>
      <c r="F231" s="222"/>
      <c r="G231" s="222"/>
      <c r="H231" s="222"/>
      <c r="I231" s="198"/>
      <c r="J231" s="198"/>
      <c r="K231" s="198"/>
    </row>
    <row r="232" spans="1:11" ht="12.75">
      <c r="A232" s="198"/>
      <c r="B232" s="222"/>
      <c r="C232" s="222"/>
      <c r="D232" s="222"/>
      <c r="E232" s="222"/>
      <c r="F232" s="222"/>
      <c r="G232" s="222"/>
      <c r="H232" s="222"/>
      <c r="I232" s="198"/>
      <c r="J232" s="198"/>
      <c r="K232" s="198"/>
    </row>
    <row r="233" spans="1:11" ht="12.75">
      <c r="A233" s="198"/>
      <c r="B233" s="222"/>
      <c r="C233" s="222"/>
      <c r="D233" s="222"/>
      <c r="E233" s="222"/>
      <c r="F233" s="222"/>
      <c r="G233" s="222"/>
      <c r="H233" s="222"/>
      <c r="I233" s="198"/>
      <c r="J233" s="198"/>
      <c r="K233" s="198"/>
    </row>
    <row r="234" spans="1:11" ht="12.75">
      <c r="A234" s="198"/>
      <c r="B234" s="222"/>
      <c r="C234" s="222"/>
      <c r="D234" s="222"/>
      <c r="E234" s="222"/>
      <c r="F234" s="222"/>
      <c r="G234" s="222"/>
      <c r="H234" s="222"/>
      <c r="I234" s="198"/>
      <c r="J234" s="198"/>
      <c r="K234" s="198"/>
    </row>
    <row r="235" spans="1:11" ht="12.75">
      <c r="A235" s="198"/>
      <c r="B235" s="222"/>
      <c r="C235" s="222"/>
      <c r="D235" s="222"/>
      <c r="E235" s="222"/>
      <c r="F235" s="222"/>
      <c r="G235" s="222"/>
      <c r="H235" s="222"/>
      <c r="I235" s="198"/>
      <c r="J235" s="198"/>
      <c r="K235" s="198"/>
    </row>
    <row r="236" spans="1:11" ht="12.75">
      <c r="A236" s="198"/>
      <c r="B236" s="222"/>
      <c r="C236" s="222"/>
      <c r="D236" s="222"/>
      <c r="E236" s="222"/>
      <c r="F236" s="222"/>
      <c r="G236" s="222"/>
      <c r="H236" s="222"/>
      <c r="I236" s="198"/>
      <c r="J236" s="198"/>
      <c r="K236" s="198"/>
    </row>
    <row r="237" spans="1:11" ht="12.75">
      <c r="A237" s="198"/>
      <c r="B237" s="222"/>
      <c r="C237" s="222"/>
      <c r="D237" s="222"/>
      <c r="E237" s="222"/>
      <c r="F237" s="222"/>
      <c r="G237" s="222"/>
      <c r="H237" s="222"/>
      <c r="I237" s="198"/>
      <c r="J237" s="198"/>
      <c r="K237" s="198"/>
    </row>
    <row r="238" spans="1:11" ht="12.75">
      <c r="A238" s="198"/>
      <c r="B238" s="222"/>
      <c r="C238" s="222"/>
      <c r="D238" s="222"/>
      <c r="E238" s="222"/>
      <c r="F238" s="222"/>
      <c r="G238" s="222"/>
      <c r="H238" s="222"/>
      <c r="I238" s="198"/>
      <c r="J238" s="198"/>
      <c r="K238" s="198"/>
    </row>
    <row r="239" spans="1:11" ht="12.75">
      <c r="A239" s="198"/>
      <c r="B239" s="222"/>
      <c r="C239" s="222"/>
      <c r="D239" s="222"/>
      <c r="E239" s="222"/>
      <c r="F239" s="222"/>
      <c r="G239" s="222"/>
      <c r="H239" s="222"/>
      <c r="I239" s="198"/>
      <c r="J239" s="198"/>
      <c r="K239" s="198"/>
    </row>
    <row r="240" spans="1:11" ht="12.75">
      <c r="A240" s="198"/>
      <c r="B240" s="222"/>
      <c r="C240" s="222"/>
      <c r="D240" s="222"/>
      <c r="E240" s="222"/>
      <c r="F240" s="222"/>
      <c r="G240" s="222"/>
      <c r="H240" s="222"/>
      <c r="I240" s="198"/>
      <c r="J240" s="198"/>
      <c r="K240" s="198"/>
    </row>
    <row r="241" spans="1:11" ht="12.75">
      <c r="A241" s="198"/>
      <c r="B241" s="222"/>
      <c r="C241" s="222"/>
      <c r="D241" s="222"/>
      <c r="E241" s="222"/>
      <c r="F241" s="222"/>
      <c r="G241" s="222"/>
      <c r="H241" s="222"/>
      <c r="I241" s="198"/>
      <c r="J241" s="198"/>
      <c r="K241" s="198"/>
    </row>
    <row r="242" spans="1:11" ht="12.75">
      <c r="A242" s="198"/>
      <c r="B242" s="222"/>
      <c r="C242" s="222"/>
      <c r="D242" s="222"/>
      <c r="E242" s="222"/>
      <c r="F242" s="222"/>
      <c r="G242" s="222"/>
      <c r="H242" s="222"/>
      <c r="I242" s="198"/>
      <c r="J242" s="198"/>
      <c r="K242" s="198"/>
    </row>
    <row r="243" spans="1:11" ht="12.75">
      <c r="A243" s="198"/>
      <c r="B243" s="222"/>
      <c r="C243" s="222"/>
      <c r="D243" s="222"/>
      <c r="E243" s="222"/>
      <c r="F243" s="222"/>
      <c r="G243" s="222"/>
      <c r="H243" s="222"/>
      <c r="I243" s="198"/>
      <c r="J243" s="198"/>
      <c r="K243" s="198"/>
    </row>
    <row r="244" spans="1:11" ht="12.75">
      <c r="A244" s="198"/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</row>
    <row r="245" spans="1:11" ht="12.75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</row>
    <row r="246" spans="1:11" ht="12.75">
      <c r="A246" s="198"/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</row>
    <row r="247" spans="1:11" ht="12.75">
      <c r="A247" s="198"/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</row>
    <row r="248" spans="1:11" ht="12.75">
      <c r="A248" s="198"/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</row>
    <row r="249" spans="1:11" ht="12.75">
      <c r="A249" s="198"/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</row>
    <row r="250" spans="1:11" ht="12.75">
      <c r="A250" s="198"/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</row>
    <row r="251" spans="1:11" ht="12.75">
      <c r="A251" s="198"/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</row>
    <row r="252" spans="1:11" ht="12.75">
      <c r="A252" s="198"/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</row>
    <row r="253" spans="1:11" ht="12.75">
      <c r="A253" s="198"/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</row>
    <row r="254" spans="1:11" ht="12.75">
      <c r="A254" s="198"/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</row>
    <row r="255" spans="1:11" ht="12.75">
      <c r="A255" s="198"/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</row>
    <row r="256" spans="1:11" ht="12.75">
      <c r="A256" s="198"/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</row>
    <row r="257" spans="1:11" ht="12.75">
      <c r="A257" s="198"/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</row>
  </sheetData>
  <sheetProtection/>
  <printOptions horizontalCentered="1"/>
  <pageMargins left="0" right="0" top="1" bottom="0" header="0.5" footer="0.5"/>
  <pageSetup blackAndWhite="1"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65" zoomScaleNormal="65" zoomScalePageLayoutView="0" workbookViewId="0" topLeftCell="A2">
      <pane xSplit="1" ySplit="9" topLeftCell="B11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9.140625" defaultRowHeight="12.75"/>
  <cols>
    <col min="1" max="1" width="37.7109375" style="0" customWidth="1"/>
    <col min="2" max="5" width="16.140625" style="0" customWidth="1"/>
    <col min="6" max="6" width="18.28125" style="0" customWidth="1"/>
    <col min="7" max="7" width="16.8515625" style="0" customWidth="1"/>
    <col min="8" max="8" width="13.28125" style="0" customWidth="1"/>
    <col min="9" max="9" width="15.7109375" style="0" customWidth="1"/>
    <col min="10" max="10" width="18.8515625" style="0" customWidth="1"/>
    <col min="11" max="11" width="17.421875" style="0" customWidth="1"/>
    <col min="12" max="12" width="12.00390625" style="0" customWidth="1"/>
  </cols>
  <sheetData>
    <row r="1" spans="1:12" ht="23.25">
      <c r="A1" s="1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8">
      <c r="A2" s="3" t="s">
        <v>38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</row>
    <row r="3" spans="1:12" ht="18">
      <c r="A3" s="3" t="s">
        <v>39</v>
      </c>
      <c r="B3" s="3"/>
      <c r="C3" s="3"/>
      <c r="D3" s="3"/>
      <c r="E3" s="3"/>
      <c r="F3" s="3"/>
      <c r="G3" s="2"/>
      <c r="H3" s="2"/>
      <c r="I3" s="2"/>
      <c r="J3" s="2"/>
      <c r="K3" s="2"/>
      <c r="L3" s="2"/>
    </row>
    <row r="4" spans="1:12" ht="18.75" thickBot="1">
      <c r="A4" s="15">
        <f ca="1">NOW()</f>
        <v>45278.58827662037</v>
      </c>
      <c r="B4" s="15"/>
      <c r="C4" s="15"/>
      <c r="D4" s="15"/>
      <c r="E4" s="15"/>
      <c r="F4" s="15"/>
      <c r="G4" s="4"/>
      <c r="H4" s="4"/>
      <c r="I4" s="3"/>
      <c r="J4" s="4"/>
      <c r="K4" s="4"/>
      <c r="L4" s="4"/>
    </row>
    <row r="5" spans="1:12" ht="15.75" thickBot="1">
      <c r="A5" s="6"/>
      <c r="B5" s="117" t="s">
        <v>137</v>
      </c>
      <c r="C5" s="117" t="s">
        <v>138</v>
      </c>
      <c r="D5" s="6"/>
      <c r="E5" s="6"/>
      <c r="F5" s="6"/>
      <c r="G5" s="9"/>
      <c r="H5" s="6"/>
      <c r="I5" s="6"/>
      <c r="J5" s="6"/>
      <c r="K5" s="10"/>
      <c r="L5" s="6"/>
    </row>
    <row r="6" spans="1:12" ht="15.75" thickBot="1">
      <c r="A6" s="117" t="s">
        <v>135</v>
      </c>
      <c r="B6" s="116">
        <f>Class_1_skim_Rate</f>
        <v>0</v>
      </c>
      <c r="C6" s="115">
        <f>Class_2_Skim_Rate</f>
        <v>0</v>
      </c>
      <c r="D6" s="6"/>
      <c r="E6" s="6"/>
      <c r="F6" s="6"/>
      <c r="G6" s="9"/>
      <c r="H6" s="6"/>
      <c r="I6" s="6"/>
      <c r="J6" s="6"/>
      <c r="K6" s="10"/>
      <c r="L6" s="6"/>
    </row>
    <row r="7" spans="1:12" ht="15.75" thickBot="1">
      <c r="A7" s="117" t="s">
        <v>136</v>
      </c>
      <c r="B7" s="116">
        <f>Class_1_BF_Rate</f>
        <v>0</v>
      </c>
      <c r="C7" s="115">
        <f>Class_2_BF_Rate</f>
        <v>0</v>
      </c>
      <c r="D7" s="6"/>
      <c r="E7" s="6"/>
      <c r="F7" s="6"/>
      <c r="G7" s="14"/>
      <c r="H7" s="6"/>
      <c r="I7" s="6"/>
      <c r="J7" s="11"/>
      <c r="K7" s="12"/>
      <c r="L7" s="6"/>
    </row>
    <row r="8" spans="1:12" ht="15.75" thickBot="1">
      <c r="A8" s="118"/>
      <c r="B8" s="113"/>
      <c r="C8" s="113"/>
      <c r="D8" s="6"/>
      <c r="E8" s="6"/>
      <c r="F8" s="6"/>
      <c r="G8" s="14"/>
      <c r="H8" s="6"/>
      <c r="I8" s="6"/>
      <c r="J8" s="11"/>
      <c r="K8" s="12"/>
      <c r="L8" s="6"/>
    </row>
    <row r="9" spans="1:11" ht="15">
      <c r="A9" s="6"/>
      <c r="B9" s="5" t="s">
        <v>40</v>
      </c>
      <c r="C9" s="5" t="s">
        <v>41</v>
      </c>
      <c r="D9" s="5" t="s">
        <v>42</v>
      </c>
      <c r="E9" s="5" t="s">
        <v>41</v>
      </c>
      <c r="F9" s="5" t="s">
        <v>24</v>
      </c>
      <c r="G9" s="5" t="s">
        <v>40</v>
      </c>
      <c r="H9" s="5" t="s">
        <v>43</v>
      </c>
      <c r="I9" s="5" t="s">
        <v>51</v>
      </c>
      <c r="J9" s="5" t="s">
        <v>52</v>
      </c>
      <c r="K9" s="5" t="s">
        <v>43</v>
      </c>
    </row>
    <row r="10" spans="1:11" ht="15.75" thickBot="1">
      <c r="A10" s="6"/>
      <c r="B10" s="7" t="s">
        <v>44</v>
      </c>
      <c r="C10" s="7" t="s">
        <v>44</v>
      </c>
      <c r="D10" s="7" t="s">
        <v>44</v>
      </c>
      <c r="E10" s="7" t="s">
        <v>45</v>
      </c>
      <c r="F10" s="7" t="s">
        <v>45</v>
      </c>
      <c r="G10" s="7" t="s">
        <v>45</v>
      </c>
      <c r="H10" s="7" t="s">
        <v>46</v>
      </c>
      <c r="I10" s="7" t="s">
        <v>53</v>
      </c>
      <c r="J10" s="7" t="s">
        <v>45</v>
      </c>
      <c r="K10" s="7" t="s">
        <v>46</v>
      </c>
    </row>
    <row r="11" spans="1:12" ht="15.75" thickBot="1">
      <c r="A11" s="8" t="s">
        <v>21</v>
      </c>
      <c r="B11" s="158">
        <v>64025702</v>
      </c>
      <c r="C11" s="159">
        <v>2088167</v>
      </c>
      <c r="D11" s="122">
        <f aca="true" t="shared" si="0" ref="D11:D24">(B11-C11)</f>
        <v>61937535</v>
      </c>
      <c r="E11" s="130">
        <f>ROUND($B$7*C11,0)</f>
        <v>0</v>
      </c>
      <c r="F11" s="130">
        <f>ROUND($B$6*D11/100,0)</f>
        <v>0</v>
      </c>
      <c r="G11" s="130">
        <f>(E11+F11)</f>
        <v>0</v>
      </c>
      <c r="H11" s="123">
        <f aca="true" t="shared" si="1" ref="H11:H24">ROUND(G11/B11,4)</f>
        <v>0</v>
      </c>
      <c r="I11" s="123">
        <f>INPUT!B49</f>
        <v>0.0033</v>
      </c>
      <c r="J11" s="123">
        <f>+INPUT!B38</f>
        <v>0</v>
      </c>
      <c r="K11" s="124">
        <f aca="true" t="shared" si="2" ref="K11:K24">ROUND(SUM(H11:J11),4)</f>
        <v>0.0033</v>
      </c>
      <c r="L11" s="114"/>
    </row>
    <row r="12" spans="1:12" ht="15.75" thickBot="1">
      <c r="A12" s="8" t="s">
        <v>47</v>
      </c>
      <c r="B12" s="160">
        <v>94984008</v>
      </c>
      <c r="C12" s="161">
        <v>1802890</v>
      </c>
      <c r="D12" s="119">
        <f t="shared" si="0"/>
        <v>93181118</v>
      </c>
      <c r="E12" s="130">
        <f aca="true" t="shared" si="3" ref="E12:E18">ROUND($B$7*C12,0)</f>
        <v>0</v>
      </c>
      <c r="F12" s="130">
        <f aca="true" t="shared" si="4" ref="F12:F18">ROUND($B$6*D12/100,0)</f>
        <v>0</v>
      </c>
      <c r="G12" s="130">
        <f aca="true" t="shared" si="5" ref="G12:G20">(E12+F12)</f>
        <v>0</v>
      </c>
      <c r="H12" s="120">
        <f t="shared" si="1"/>
        <v>0</v>
      </c>
      <c r="I12" s="123">
        <f>INPUT!B50</f>
        <v>0.0033</v>
      </c>
      <c r="J12" s="120">
        <f>+INPUT!B39</f>
        <v>0.0001</v>
      </c>
      <c r="K12" s="121">
        <f t="shared" si="2"/>
        <v>0.0034</v>
      </c>
      <c r="L12" s="114"/>
    </row>
    <row r="13" spans="1:12" ht="15.75" thickBot="1">
      <c r="A13" s="8" t="s">
        <v>48</v>
      </c>
      <c r="B13" s="160">
        <v>29042693</v>
      </c>
      <c r="C13" s="161">
        <v>259950</v>
      </c>
      <c r="D13" s="119">
        <f t="shared" si="0"/>
        <v>28782743</v>
      </c>
      <c r="E13" s="130">
        <f t="shared" si="3"/>
        <v>0</v>
      </c>
      <c r="F13" s="130">
        <f t="shared" si="4"/>
        <v>0</v>
      </c>
      <c r="G13" s="130">
        <f t="shared" si="5"/>
        <v>0</v>
      </c>
      <c r="H13" s="120">
        <f t="shared" si="1"/>
        <v>0</v>
      </c>
      <c r="I13" s="123">
        <f>INPUT!B51</f>
        <v>0.0033</v>
      </c>
      <c r="J13" s="120">
        <f>+INPUT!B40</f>
        <v>0.0001</v>
      </c>
      <c r="K13" s="121">
        <f t="shared" si="2"/>
        <v>0.0034</v>
      </c>
      <c r="L13" s="114"/>
    </row>
    <row r="14" spans="1:12" ht="15.75" thickBot="1">
      <c r="A14" s="8" t="s">
        <v>49</v>
      </c>
      <c r="B14" s="160">
        <v>18305117</v>
      </c>
      <c r="C14" s="161">
        <v>21666</v>
      </c>
      <c r="D14" s="119">
        <f t="shared" si="0"/>
        <v>18283451</v>
      </c>
      <c r="E14" s="130">
        <f t="shared" si="3"/>
        <v>0</v>
      </c>
      <c r="F14" s="130">
        <f t="shared" si="4"/>
        <v>0</v>
      </c>
      <c r="G14" s="130">
        <f t="shared" si="5"/>
        <v>0</v>
      </c>
      <c r="H14" s="120">
        <f t="shared" si="1"/>
        <v>0</v>
      </c>
      <c r="I14" s="123">
        <f>INPUT!B52</f>
        <v>0.0033</v>
      </c>
      <c r="J14" s="120">
        <f>+INPUT!B41</f>
        <v>0.0009</v>
      </c>
      <c r="K14" s="121">
        <f t="shared" si="2"/>
        <v>0.0042</v>
      </c>
      <c r="L14" s="114"/>
    </row>
    <row r="15" spans="1:12" ht="15.75" thickBot="1">
      <c r="A15" s="8" t="s">
        <v>25</v>
      </c>
      <c r="B15" s="160">
        <v>16305225</v>
      </c>
      <c r="C15" s="161">
        <v>564959</v>
      </c>
      <c r="D15" s="119">
        <f t="shared" si="0"/>
        <v>15740266</v>
      </c>
      <c r="E15" s="130">
        <f t="shared" si="3"/>
        <v>0</v>
      </c>
      <c r="F15" s="130">
        <f t="shared" si="4"/>
        <v>0</v>
      </c>
      <c r="G15" s="130">
        <f t="shared" si="5"/>
        <v>0</v>
      </c>
      <c r="H15" s="120">
        <f t="shared" si="1"/>
        <v>0</v>
      </c>
      <c r="I15" s="123">
        <f>INPUT!B53</f>
        <v>0.0033</v>
      </c>
      <c r="J15" s="120">
        <f>INPUT!B42</f>
        <v>0</v>
      </c>
      <c r="K15" s="121">
        <f t="shared" si="2"/>
        <v>0.0033</v>
      </c>
      <c r="L15" s="114"/>
    </row>
    <row r="16" spans="1:12" ht="15.75" thickBot="1">
      <c r="A16" s="8" t="s">
        <v>50</v>
      </c>
      <c r="B16" s="160">
        <v>18087999</v>
      </c>
      <c r="C16" s="161">
        <v>186826</v>
      </c>
      <c r="D16" s="119">
        <f t="shared" si="0"/>
        <v>17901173</v>
      </c>
      <c r="E16" s="130">
        <f t="shared" si="3"/>
        <v>0</v>
      </c>
      <c r="F16" s="130">
        <f t="shared" si="4"/>
        <v>0</v>
      </c>
      <c r="G16" s="130">
        <f t="shared" si="5"/>
        <v>0</v>
      </c>
      <c r="H16" s="120">
        <f t="shared" si="1"/>
        <v>0</v>
      </c>
      <c r="I16" s="123">
        <f>INPUT!B54</f>
        <v>0.0033</v>
      </c>
      <c r="J16" s="120">
        <f>INPUT!B43</f>
        <v>0</v>
      </c>
      <c r="K16" s="121">
        <f t="shared" si="2"/>
        <v>0.0033</v>
      </c>
      <c r="L16" s="114"/>
    </row>
    <row r="17" spans="1:12" ht="15.75" thickBot="1">
      <c r="A17" s="8" t="s">
        <v>172</v>
      </c>
      <c r="B17" s="160">
        <v>11713190</v>
      </c>
      <c r="C17" s="161">
        <v>27807</v>
      </c>
      <c r="D17" s="119">
        <f t="shared" si="0"/>
        <v>11685383</v>
      </c>
      <c r="E17" s="130">
        <f t="shared" si="3"/>
        <v>0</v>
      </c>
      <c r="F17" s="130">
        <f t="shared" si="4"/>
        <v>0</v>
      </c>
      <c r="G17" s="130">
        <f t="shared" si="5"/>
        <v>0</v>
      </c>
      <c r="H17" s="120">
        <f t="shared" si="1"/>
        <v>0</v>
      </c>
      <c r="I17" s="123">
        <f>INPUT!B55</f>
        <v>0.0033</v>
      </c>
      <c r="J17" s="120">
        <f>INPUT!B44</f>
        <v>0</v>
      </c>
      <c r="K17" s="121">
        <f t="shared" si="2"/>
        <v>0.0033</v>
      </c>
      <c r="L17" s="114"/>
    </row>
    <row r="18" spans="1:12" ht="15.75" thickBot="1">
      <c r="A18" s="8" t="s">
        <v>27</v>
      </c>
      <c r="B18" s="160">
        <v>1539693</v>
      </c>
      <c r="C18" s="161">
        <v>25383</v>
      </c>
      <c r="D18" s="119">
        <f t="shared" si="0"/>
        <v>1514310</v>
      </c>
      <c r="E18" s="130">
        <f t="shared" si="3"/>
        <v>0</v>
      </c>
      <c r="F18" s="130">
        <f t="shared" si="4"/>
        <v>0</v>
      </c>
      <c r="G18" s="130">
        <f t="shared" si="5"/>
        <v>0</v>
      </c>
      <c r="H18" s="120">
        <f t="shared" si="1"/>
        <v>0</v>
      </c>
      <c r="I18" s="123">
        <f>INPUT!B55</f>
        <v>0.0033</v>
      </c>
      <c r="J18" s="120">
        <f>INPUT!B45</f>
        <v>0.0433</v>
      </c>
      <c r="K18" s="121">
        <f t="shared" si="2"/>
        <v>0.0466</v>
      </c>
      <c r="L18" s="114"/>
    </row>
    <row r="19" spans="1:12" ht="15.75" thickBot="1">
      <c r="A19" s="8" t="s">
        <v>141</v>
      </c>
      <c r="B19" s="160">
        <v>584468</v>
      </c>
      <c r="C19" s="161">
        <v>39924</v>
      </c>
      <c r="D19" s="119">
        <f>(B19-C19)</f>
        <v>544544</v>
      </c>
      <c r="E19" s="130">
        <f>ROUND($B$7*C19,0)</f>
        <v>0</v>
      </c>
      <c r="F19" s="130">
        <f>ROUND($B$6*D19/100,0)</f>
        <v>0</v>
      </c>
      <c r="G19" s="130">
        <f>(E19+F19)</f>
        <v>0</v>
      </c>
      <c r="H19" s="120">
        <f>ROUND(G19/B19,4)</f>
        <v>0</v>
      </c>
      <c r="I19" s="123">
        <f>INPUT!B56</f>
        <v>0.0033</v>
      </c>
      <c r="J19" s="120">
        <f>INPUT!B46</f>
        <v>0.2522</v>
      </c>
      <c r="K19" s="121">
        <f>ROUND(SUM(H19:J19),4)</f>
        <v>0.2555</v>
      </c>
      <c r="L19" s="114"/>
    </row>
    <row r="20" spans="1:11" ht="15.75" thickBot="1">
      <c r="A20" s="8" t="s">
        <v>54</v>
      </c>
      <c r="B20" s="160">
        <v>100000</v>
      </c>
      <c r="C20" s="161">
        <v>10500</v>
      </c>
      <c r="D20" s="115">
        <f t="shared" si="0"/>
        <v>89500</v>
      </c>
      <c r="E20" s="130">
        <f>ROUND($C$7*C20,0)</f>
        <v>0</v>
      </c>
      <c r="F20" s="130">
        <f>ROUND($C$6*D20/100,0)</f>
        <v>0</v>
      </c>
      <c r="G20" s="130">
        <f t="shared" si="5"/>
        <v>0</v>
      </c>
      <c r="H20" s="120">
        <f t="shared" si="1"/>
        <v>0</v>
      </c>
      <c r="I20" s="120"/>
      <c r="J20" s="120"/>
      <c r="K20" s="120">
        <f t="shared" si="2"/>
        <v>0</v>
      </c>
    </row>
    <row r="21" spans="1:11" ht="15.75" thickBot="1">
      <c r="A21" s="8" t="s">
        <v>73</v>
      </c>
      <c r="B21" s="160">
        <v>100000</v>
      </c>
      <c r="C21" s="161">
        <v>18000</v>
      </c>
      <c r="D21" s="115">
        <f>(B21-C21)</f>
        <v>82000</v>
      </c>
      <c r="E21" s="130">
        <f>ROUND($C$7*C21,0)</f>
        <v>0</v>
      </c>
      <c r="F21" s="130">
        <f>ROUND($C$6*D21/100,0)</f>
        <v>0</v>
      </c>
      <c r="G21" s="130">
        <f>(E21+F21)</f>
        <v>0</v>
      </c>
      <c r="H21" s="120">
        <f>ROUND(G21/B21,4)</f>
        <v>0</v>
      </c>
      <c r="I21" s="120"/>
      <c r="J21" s="120"/>
      <c r="K21" s="120">
        <f>ROUND(SUM(H21:J21),4)</f>
        <v>0</v>
      </c>
    </row>
    <row r="22" spans="1:11" ht="15.75" thickBot="1">
      <c r="A22" s="8" t="s">
        <v>72</v>
      </c>
      <c r="B22" s="160">
        <v>100000</v>
      </c>
      <c r="C22" s="161">
        <v>18000</v>
      </c>
      <c r="D22" s="115">
        <f t="shared" si="0"/>
        <v>82000</v>
      </c>
      <c r="E22" s="130">
        <f>ROUND($C$7*C22,0)</f>
        <v>0</v>
      </c>
      <c r="F22" s="130">
        <f>ROUND($C$6*D22/100,0)</f>
        <v>0</v>
      </c>
      <c r="G22" s="130">
        <f>(E22+F22)</f>
        <v>0</v>
      </c>
      <c r="H22" s="120">
        <f t="shared" si="1"/>
        <v>0</v>
      </c>
      <c r="I22" s="120"/>
      <c r="J22" s="120"/>
      <c r="K22" s="120">
        <f t="shared" si="2"/>
        <v>0</v>
      </c>
    </row>
    <row r="23" spans="1:11" ht="15.75" thickBot="1">
      <c r="A23" s="8" t="s">
        <v>55</v>
      </c>
      <c r="B23" s="160">
        <v>100000</v>
      </c>
      <c r="C23" s="161">
        <v>30000</v>
      </c>
      <c r="D23" s="115">
        <f t="shared" si="0"/>
        <v>70000</v>
      </c>
      <c r="E23" s="130">
        <f>ROUND($C$7*C23,0)</f>
        <v>0</v>
      </c>
      <c r="F23" s="130">
        <f>ROUND($C$6*D23/100,0)</f>
        <v>0</v>
      </c>
      <c r="G23" s="130">
        <f>(E23+F23)</f>
        <v>0</v>
      </c>
      <c r="H23" s="120">
        <f t="shared" si="1"/>
        <v>0</v>
      </c>
      <c r="I23" s="120"/>
      <c r="J23" s="120"/>
      <c r="K23" s="120">
        <f t="shared" si="2"/>
        <v>0</v>
      </c>
    </row>
    <row r="24" spans="1:11" ht="15.75" thickBot="1">
      <c r="A24" s="8" t="s">
        <v>56</v>
      </c>
      <c r="B24" s="160">
        <v>100000</v>
      </c>
      <c r="C24" s="161">
        <v>36000</v>
      </c>
      <c r="D24" s="115">
        <f t="shared" si="0"/>
        <v>64000</v>
      </c>
      <c r="E24" s="130">
        <f>ROUND($C$7*C24,0)</f>
        <v>0</v>
      </c>
      <c r="F24" s="130">
        <f>ROUND($C$6*D24/100,0)</f>
        <v>0</v>
      </c>
      <c r="G24" s="130">
        <f>(E24+F24)</f>
        <v>0</v>
      </c>
      <c r="H24" s="120">
        <f t="shared" si="1"/>
        <v>0</v>
      </c>
      <c r="I24" s="120"/>
      <c r="J24" s="120"/>
      <c r="K24" s="120">
        <f t="shared" si="2"/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="75" zoomScaleNormal="75" zoomScalePageLayoutView="0" workbookViewId="0" topLeftCell="A4">
      <pane xSplit="1" ySplit="2" topLeftCell="B52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16" t="s">
        <v>37</v>
      </c>
      <c r="B1" s="16"/>
      <c r="C1" s="16"/>
      <c r="D1" s="16"/>
      <c r="E1" s="16"/>
      <c r="F1" s="16"/>
      <c r="G1" s="16"/>
    </row>
    <row r="2" spans="1:7" ht="12.75">
      <c r="A2" s="16" t="s">
        <v>57</v>
      </c>
      <c r="B2" s="16"/>
      <c r="C2" s="16"/>
      <c r="D2" s="16"/>
      <c r="E2" s="16"/>
      <c r="F2" s="16"/>
      <c r="G2" s="16"/>
    </row>
    <row r="3" spans="1:7" ht="13.5" thickBot="1">
      <c r="A3" s="17">
        <f ca="1">NOW()</f>
        <v>45278.58827662037</v>
      </c>
      <c r="B3" s="16"/>
      <c r="C3" s="16"/>
      <c r="D3" s="16"/>
      <c r="E3" s="16"/>
      <c r="F3" s="16"/>
      <c r="G3" s="16"/>
    </row>
    <row r="4" spans="2:7" ht="13.5" thickTop="1">
      <c r="B4" s="18" t="s">
        <v>58</v>
      </c>
      <c r="C4" s="18" t="s">
        <v>59</v>
      </c>
      <c r="D4" s="18" t="s">
        <v>60</v>
      </c>
      <c r="E4" s="18" t="s">
        <v>158</v>
      </c>
      <c r="F4" s="18" t="s">
        <v>61</v>
      </c>
      <c r="G4" s="18" t="s">
        <v>40</v>
      </c>
    </row>
    <row r="5" spans="2:7" ht="13.5" thickBot="1">
      <c r="B5" s="19" t="s">
        <v>62</v>
      </c>
      <c r="C5" s="19" t="s">
        <v>45</v>
      </c>
      <c r="D5" s="19" t="s">
        <v>45</v>
      </c>
      <c r="E5" s="19" t="s">
        <v>45</v>
      </c>
      <c r="F5" s="19" t="s">
        <v>45</v>
      </c>
      <c r="G5" s="19" t="s">
        <v>45</v>
      </c>
    </row>
    <row r="6" spans="1:7" ht="14.25" thickBot="1" thickTop="1">
      <c r="A6" s="20" t="s">
        <v>21</v>
      </c>
      <c r="B6" s="27"/>
      <c r="C6" s="28"/>
      <c r="D6" s="28"/>
      <c r="E6" s="28"/>
      <c r="F6" s="28"/>
      <c r="G6" s="28"/>
    </row>
    <row r="7" spans="1:7" ht="13.5" thickTop="1">
      <c r="A7" s="26" t="s">
        <v>12</v>
      </c>
      <c r="B7" s="30">
        <v>8.6</v>
      </c>
      <c r="C7" s="25">
        <f>ROUND(B7*RAW!$K$11,4)</f>
        <v>0.0284</v>
      </c>
      <c r="D7" s="29">
        <f>INPUT!$B$13</f>
        <v>0</v>
      </c>
      <c r="E7" s="29">
        <f>E9*4</f>
        <v>0</v>
      </c>
      <c r="F7" s="29">
        <f>+F9*4</f>
        <v>1.5832</v>
      </c>
      <c r="G7" s="29">
        <f>ROUND(SUM(C7:F7),4)</f>
        <v>1.6116</v>
      </c>
    </row>
    <row r="8" spans="1:7" ht="12.75">
      <c r="A8" s="26" t="s">
        <v>63</v>
      </c>
      <c r="B8" s="30">
        <v>4.3</v>
      </c>
      <c r="C8" s="25">
        <f>ROUND(B8*RAW!$K$11,4)</f>
        <v>0.0142</v>
      </c>
      <c r="D8" s="29">
        <f>INPUT!$B$14</f>
        <v>0</v>
      </c>
      <c r="E8" s="29">
        <f>E9*2</f>
        <v>0</v>
      </c>
      <c r="F8" s="29">
        <f>+F9*2</f>
        <v>0.7916</v>
      </c>
      <c r="G8" s="29">
        <f aca="true" t="shared" si="0" ref="G8:G15">ROUND(SUM(C8:F8),4)</f>
        <v>0.8058</v>
      </c>
    </row>
    <row r="9" spans="1:7" ht="12.75">
      <c r="A9" s="26" t="s">
        <v>14</v>
      </c>
      <c r="B9" s="30">
        <v>2.15</v>
      </c>
      <c r="C9" s="25">
        <f>ROUND(B9*RAW!$K$11,4)</f>
        <v>0.0071</v>
      </c>
      <c r="D9" s="29">
        <f>INPUT!$B$15</f>
        <v>0</v>
      </c>
      <c r="E9" s="29">
        <f>INPUT!B$35</f>
        <v>0</v>
      </c>
      <c r="F9" s="29">
        <f>INPUT!$B$30</f>
        <v>0.3958</v>
      </c>
      <c r="G9" s="29">
        <f t="shared" si="0"/>
        <v>0.4029</v>
      </c>
    </row>
    <row r="10" spans="1:7" ht="12.75">
      <c r="A10" s="26" t="s">
        <v>15</v>
      </c>
      <c r="B10" s="30">
        <v>1.075</v>
      </c>
      <c r="C10" s="25">
        <f>ROUND(B10*RAW!$K$11,4)</f>
        <v>0.0035</v>
      </c>
      <c r="D10" s="29">
        <f>INPUT!$B$16</f>
        <v>0</v>
      </c>
      <c r="E10" s="29">
        <f>ROUND(E9/2,4)</f>
        <v>0</v>
      </c>
      <c r="F10" s="29">
        <f>ROUND($F$9/2,4)</f>
        <v>0.1979</v>
      </c>
      <c r="G10" s="29">
        <f t="shared" si="0"/>
        <v>0.2014</v>
      </c>
    </row>
    <row r="11" spans="1:7" ht="12.75">
      <c r="A11" s="26" t="s">
        <v>162</v>
      </c>
      <c r="B11" s="30">
        <f>B12/10*12</f>
        <v>0.8062499999999999</v>
      </c>
      <c r="C11" s="25">
        <f>ROUND(B11*RAW!$K$11,4)</f>
        <v>0.0027</v>
      </c>
      <c r="D11" s="29">
        <f>INPUT!$B$17</f>
        <v>0.1766</v>
      </c>
      <c r="E11" s="29">
        <f>ROUND(E8/32*12,4)</f>
        <v>0</v>
      </c>
      <c r="F11" s="29">
        <f>ROUND($F$9/32*12,4)</f>
        <v>0.1484</v>
      </c>
      <c r="G11" s="29">
        <f t="shared" si="0"/>
        <v>0.3277</v>
      </c>
    </row>
    <row r="12" spans="1:7" ht="12.75">
      <c r="A12" s="26" t="s">
        <v>64</v>
      </c>
      <c r="B12" s="30">
        <v>0.671875</v>
      </c>
      <c r="C12" s="25">
        <f>ROUND(B12*RAW!$K$11,4)</f>
        <v>0.0022</v>
      </c>
      <c r="D12" s="29">
        <f>INPUT!$B$18</f>
        <v>0.0544</v>
      </c>
      <c r="E12" s="29">
        <f>ROUND(E9/32*10,4)</f>
        <v>0</v>
      </c>
      <c r="F12" s="29">
        <f>ROUND($F$9/32*10,4)</f>
        <v>0.1237</v>
      </c>
      <c r="G12" s="29">
        <f t="shared" si="0"/>
        <v>0.1803</v>
      </c>
    </row>
    <row r="13" spans="1:7" ht="12.75">
      <c r="A13" s="26" t="s">
        <v>65</v>
      </c>
      <c r="B13" s="30">
        <v>0.5375</v>
      </c>
      <c r="C13" s="25">
        <f>ROUND(B13*RAW!$K$11,4)</f>
        <v>0.0018</v>
      </c>
      <c r="D13" s="29">
        <f>INPUT!$B$19</f>
        <v>0</v>
      </c>
      <c r="E13" s="29">
        <f>ROUND(E9/4,4)</f>
        <v>0</v>
      </c>
      <c r="F13" s="29">
        <f>ROUND($F$9/4,4)</f>
        <v>0.099</v>
      </c>
      <c r="G13" s="29">
        <f t="shared" si="0"/>
        <v>0.1008</v>
      </c>
    </row>
    <row r="14" spans="1:7" ht="12.75">
      <c r="A14" s="26" t="s">
        <v>66</v>
      </c>
      <c r="B14" s="30">
        <v>0.26875</v>
      </c>
      <c r="C14" s="25">
        <f>ROUND(B14*RAW!$K$11,4)</f>
        <v>0.0009</v>
      </c>
      <c r="D14" s="29">
        <f>INPUT!$B$21</f>
        <v>0.0359</v>
      </c>
      <c r="E14" s="29">
        <f>ROUND(E9/32*4,4)</f>
        <v>0</v>
      </c>
      <c r="F14" s="29">
        <f>ROUND($F$9/8,4)</f>
        <v>0.0495</v>
      </c>
      <c r="G14" s="29">
        <f t="shared" si="0"/>
        <v>0.0863</v>
      </c>
    </row>
    <row r="15" spans="1:7" ht="13.5" thickBot="1">
      <c r="A15" s="26" t="s">
        <v>67</v>
      </c>
      <c r="B15" s="30">
        <v>2.15</v>
      </c>
      <c r="C15" s="25">
        <f>ROUND(B15*RAW!$K$11,4)</f>
        <v>0.0071</v>
      </c>
      <c r="D15" s="29">
        <f>INPUT!$B$22</f>
        <v>0.1039</v>
      </c>
      <c r="E15" s="29">
        <f>E9</f>
        <v>0</v>
      </c>
      <c r="F15" s="29">
        <f>ROUND($F$9,4)</f>
        <v>0.3958</v>
      </c>
      <c r="G15" s="29">
        <f t="shared" si="0"/>
        <v>0.5068</v>
      </c>
    </row>
    <row r="16" spans="1:6" ht="14.25" thickBot="1" thickTop="1">
      <c r="A16" s="20" t="s">
        <v>47</v>
      </c>
      <c r="B16" s="31"/>
      <c r="F16" s="42"/>
    </row>
    <row r="17" spans="1:7" ht="13.5" thickTop="1">
      <c r="A17" s="22" t="s">
        <v>12</v>
      </c>
      <c r="B17" s="30">
        <v>8.62</v>
      </c>
      <c r="C17" s="29">
        <f>ROUND(B17*RAW!$K$12,4)</f>
        <v>0.0293</v>
      </c>
      <c r="D17" s="29">
        <f>INPUT!$B$13</f>
        <v>0</v>
      </c>
      <c r="E17" s="29">
        <f>E19*4</f>
        <v>0</v>
      </c>
      <c r="F17" s="29">
        <f>+F19*4</f>
        <v>1.5832</v>
      </c>
      <c r="G17" s="29">
        <f>ROUND(SUM(C17:F17),4)</f>
        <v>1.6125</v>
      </c>
    </row>
    <row r="18" spans="1:7" ht="12.75">
      <c r="A18" s="21" t="s">
        <v>63</v>
      </c>
      <c r="B18" s="30">
        <v>4.31</v>
      </c>
      <c r="C18" s="29">
        <f>ROUND(B18*RAW!$K$12,4)</f>
        <v>0.0147</v>
      </c>
      <c r="D18" s="29">
        <f>INPUT!$B$14</f>
        <v>0</v>
      </c>
      <c r="E18" s="29">
        <f>E19*2</f>
        <v>0</v>
      </c>
      <c r="F18" s="29">
        <f>+F19*2</f>
        <v>0.7916</v>
      </c>
      <c r="G18" s="29">
        <f aca="true" t="shared" si="1" ref="G18:G25">ROUND(SUM(C18:F18),4)</f>
        <v>0.8063</v>
      </c>
    </row>
    <row r="19" spans="1:7" ht="12.75">
      <c r="A19" s="21" t="s">
        <v>14</v>
      </c>
      <c r="B19" s="30">
        <v>2.155</v>
      </c>
      <c r="C19" s="29">
        <f>ROUND(B19*RAW!$K$12,4)</f>
        <v>0.0073</v>
      </c>
      <c r="D19" s="29">
        <f>INPUT!$B$15</f>
        <v>0</v>
      </c>
      <c r="E19" s="29">
        <f>INPUT!B$35</f>
        <v>0</v>
      </c>
      <c r="F19" s="29">
        <f>INPUT!$B$30</f>
        <v>0.3958</v>
      </c>
      <c r="G19" s="29">
        <f t="shared" si="1"/>
        <v>0.4031</v>
      </c>
    </row>
    <row r="20" spans="1:7" ht="12.75">
      <c r="A20" s="21" t="s">
        <v>15</v>
      </c>
      <c r="B20" s="30">
        <v>1.0775</v>
      </c>
      <c r="C20" s="29">
        <f>ROUND(B20*RAW!$K$12,4)</f>
        <v>0.0037</v>
      </c>
      <c r="D20" s="29">
        <f>INPUT!$B$16</f>
        <v>0</v>
      </c>
      <c r="E20" s="29">
        <f>ROUND(E19/2,4)</f>
        <v>0</v>
      </c>
      <c r="F20" s="29">
        <f>ROUND($F$9/2,4)</f>
        <v>0.1979</v>
      </c>
      <c r="G20" s="29">
        <f t="shared" si="1"/>
        <v>0.2016</v>
      </c>
    </row>
    <row r="21" spans="1:7" ht="12.75">
      <c r="A21" s="26" t="s">
        <v>162</v>
      </c>
      <c r="B21" s="30">
        <f>B22/10*12</f>
        <v>0.8081255999999999</v>
      </c>
      <c r="C21" s="29">
        <f>ROUND(B21*RAW!$K$12,4)</f>
        <v>0.0027</v>
      </c>
      <c r="D21" s="29">
        <f>INPUT!$B$17</f>
        <v>0.1766</v>
      </c>
      <c r="E21" s="29">
        <f>ROUND(E18/32*12,4)</f>
        <v>0</v>
      </c>
      <c r="F21" s="29">
        <f>ROUND($F$9/32*12,4)</f>
        <v>0.1484</v>
      </c>
      <c r="G21" s="29">
        <f t="shared" si="1"/>
        <v>0.3277</v>
      </c>
    </row>
    <row r="22" spans="1:7" ht="12.75">
      <c r="A22" s="21" t="s">
        <v>64</v>
      </c>
      <c r="B22" s="30">
        <v>0.673438</v>
      </c>
      <c r="C22" s="29">
        <f>ROUND(B22*RAW!$K$12,4)</f>
        <v>0.0023</v>
      </c>
      <c r="D22" s="29">
        <f>INPUT!$B$18</f>
        <v>0.0544</v>
      </c>
      <c r="E22" s="29">
        <f>ROUND(E19/32*10,4)</f>
        <v>0</v>
      </c>
      <c r="F22" s="29">
        <f>ROUND($F$9/32*10,4)</f>
        <v>0.1237</v>
      </c>
      <c r="G22" s="29">
        <f t="shared" si="1"/>
        <v>0.1804</v>
      </c>
    </row>
    <row r="23" spans="1:7" ht="12.75">
      <c r="A23" s="21" t="s">
        <v>65</v>
      </c>
      <c r="B23" s="30">
        <v>0.53875</v>
      </c>
      <c r="C23" s="29">
        <f>ROUND(B23*RAW!$K$12,4)</f>
        <v>0.0018</v>
      </c>
      <c r="D23" s="29">
        <f>INPUT!$B$19</f>
        <v>0</v>
      </c>
      <c r="E23" s="29">
        <f>ROUND(E19/4,4)</f>
        <v>0</v>
      </c>
      <c r="F23" s="29">
        <f>ROUND($F$9/4,4)</f>
        <v>0.099</v>
      </c>
      <c r="G23" s="29">
        <f t="shared" si="1"/>
        <v>0.1008</v>
      </c>
    </row>
    <row r="24" spans="1:7" ht="12.75">
      <c r="A24" s="21" t="s">
        <v>66</v>
      </c>
      <c r="B24" s="30">
        <v>0.269375</v>
      </c>
      <c r="C24" s="29">
        <f>ROUND(B24*RAW!$K$12,4)</f>
        <v>0.0009</v>
      </c>
      <c r="D24" s="29">
        <f>INPUT!$B$21</f>
        <v>0.0359</v>
      </c>
      <c r="E24" s="29">
        <f>ROUND(E19/32*4,4)</f>
        <v>0</v>
      </c>
      <c r="F24" s="29">
        <f>ROUND($F$9/8,4)</f>
        <v>0.0495</v>
      </c>
      <c r="G24" s="29">
        <f t="shared" si="1"/>
        <v>0.0863</v>
      </c>
    </row>
    <row r="25" spans="1:7" ht="13.5" thickBot="1">
      <c r="A25" s="23" t="s">
        <v>67</v>
      </c>
      <c r="B25" s="30">
        <v>2.155</v>
      </c>
      <c r="C25" s="29">
        <f>ROUND(B25*RAW!$K$12,4)</f>
        <v>0.0073</v>
      </c>
      <c r="D25" s="29">
        <f>INPUT!$B$22</f>
        <v>0.1039</v>
      </c>
      <c r="E25" s="29">
        <f>E19</f>
        <v>0</v>
      </c>
      <c r="F25" s="29">
        <f>ROUND($F$9,4)</f>
        <v>0.3958</v>
      </c>
      <c r="G25" s="29">
        <f t="shared" si="1"/>
        <v>0.507</v>
      </c>
    </row>
    <row r="26" spans="1:6" ht="14.25" thickBot="1" thickTop="1">
      <c r="A26" s="20" t="s">
        <v>48</v>
      </c>
      <c r="B26" s="31"/>
      <c r="F26" s="42"/>
    </row>
    <row r="27" spans="1:7" ht="13.5" thickTop="1">
      <c r="A27" s="22" t="s">
        <v>12</v>
      </c>
      <c r="B27" s="30">
        <v>8.62</v>
      </c>
      <c r="C27" s="29">
        <f>ROUND(B27*RAW!$K$13,4)</f>
        <v>0.0293</v>
      </c>
      <c r="D27" s="29">
        <f>INPUT!$B$13</f>
        <v>0</v>
      </c>
      <c r="E27" s="29">
        <f>E29*4</f>
        <v>0</v>
      </c>
      <c r="F27" s="29">
        <f>+F29*4</f>
        <v>1.5832</v>
      </c>
      <c r="G27" s="29">
        <f>ROUND(SUM(C27:F27),4)</f>
        <v>1.6125</v>
      </c>
    </row>
    <row r="28" spans="1:7" ht="12.75">
      <c r="A28" s="21" t="s">
        <v>63</v>
      </c>
      <c r="B28" s="30">
        <v>4.31</v>
      </c>
      <c r="C28" s="29">
        <f>ROUND(B28*RAW!$K$13,4)</f>
        <v>0.0147</v>
      </c>
      <c r="D28" s="29">
        <f>INPUT!$B$14</f>
        <v>0</v>
      </c>
      <c r="E28" s="29">
        <f>E29*2</f>
        <v>0</v>
      </c>
      <c r="F28" s="29">
        <f>+F29*2</f>
        <v>0.7916</v>
      </c>
      <c r="G28" s="29">
        <f aca="true" t="shared" si="2" ref="G28:G35">ROUND(SUM(C28:F28),4)</f>
        <v>0.8063</v>
      </c>
    </row>
    <row r="29" spans="1:7" ht="12.75">
      <c r="A29" s="21" t="s">
        <v>14</v>
      </c>
      <c r="B29" s="30">
        <v>2.155</v>
      </c>
      <c r="C29" s="29">
        <f>ROUND(B29*RAW!$K$13,4)</f>
        <v>0.0073</v>
      </c>
      <c r="D29" s="29">
        <f>INPUT!$B$15</f>
        <v>0</v>
      </c>
      <c r="E29" s="29">
        <f>INPUT!B$35</f>
        <v>0</v>
      </c>
      <c r="F29" s="29">
        <f>INPUT!$B$30</f>
        <v>0.3958</v>
      </c>
      <c r="G29" s="29">
        <f t="shared" si="2"/>
        <v>0.4031</v>
      </c>
    </row>
    <row r="30" spans="1:7" ht="12.75">
      <c r="A30" s="21" t="s">
        <v>15</v>
      </c>
      <c r="B30" s="30">
        <v>1.0775</v>
      </c>
      <c r="C30" s="29">
        <f>ROUND(B30*RAW!$K$13,4)</f>
        <v>0.0037</v>
      </c>
      <c r="D30" s="29">
        <f>INPUT!$B$16</f>
        <v>0</v>
      </c>
      <c r="E30" s="29">
        <f>ROUND(E29/2,4)</f>
        <v>0</v>
      </c>
      <c r="F30" s="29">
        <f>ROUND($F$9/2,4)</f>
        <v>0.1979</v>
      </c>
      <c r="G30" s="29">
        <f t="shared" si="2"/>
        <v>0.2016</v>
      </c>
    </row>
    <row r="31" spans="1:7" ht="12.75">
      <c r="A31" s="26" t="s">
        <v>162</v>
      </c>
      <c r="B31" s="30">
        <f>ROUND(B29/32*12,4)</f>
        <v>0.8081</v>
      </c>
      <c r="C31" s="29">
        <f>ROUND(B31*RAW!$K$13,4)</f>
        <v>0.0027</v>
      </c>
      <c r="D31" s="29">
        <f>INPUT!$B$17</f>
        <v>0.1766</v>
      </c>
      <c r="E31" s="29">
        <f>ROUND(E28/32*12,4)</f>
        <v>0</v>
      </c>
      <c r="F31" s="29">
        <f>ROUND($F$9/32*12,4)</f>
        <v>0.1484</v>
      </c>
      <c r="G31" s="29">
        <f t="shared" si="2"/>
        <v>0.3277</v>
      </c>
    </row>
    <row r="32" spans="1:7" ht="12.75">
      <c r="A32" s="21" t="s">
        <v>64</v>
      </c>
      <c r="B32" s="30">
        <v>0.673438</v>
      </c>
      <c r="C32" s="29">
        <f>ROUND(B32*RAW!$K$13,4)</f>
        <v>0.0023</v>
      </c>
      <c r="D32" s="29">
        <f>INPUT!$B$18</f>
        <v>0.0544</v>
      </c>
      <c r="E32" s="29">
        <f>ROUND(E29/32*10,4)</f>
        <v>0</v>
      </c>
      <c r="F32" s="29">
        <f>ROUND($F$9/32*10,4)</f>
        <v>0.1237</v>
      </c>
      <c r="G32" s="29">
        <f t="shared" si="2"/>
        <v>0.1804</v>
      </c>
    </row>
    <row r="33" spans="1:7" ht="12.75">
      <c r="A33" s="21" t="s">
        <v>65</v>
      </c>
      <c r="B33" s="30">
        <v>0.53875</v>
      </c>
      <c r="C33" s="29">
        <f>ROUND(B33*RAW!$K$13,4)</f>
        <v>0.0018</v>
      </c>
      <c r="D33" s="29">
        <f>INPUT!$B$19</f>
        <v>0</v>
      </c>
      <c r="E33" s="29">
        <f>ROUND(E29/4,4)</f>
        <v>0</v>
      </c>
      <c r="F33" s="29">
        <f>ROUND($F$9/4,4)</f>
        <v>0.099</v>
      </c>
      <c r="G33" s="29">
        <f t="shared" si="2"/>
        <v>0.1008</v>
      </c>
    </row>
    <row r="34" spans="1:7" ht="12.75">
      <c r="A34" s="21" t="s">
        <v>66</v>
      </c>
      <c r="B34" s="30">
        <v>0.269375</v>
      </c>
      <c r="C34" s="29">
        <f>ROUND(B34*RAW!$K$13,4)</f>
        <v>0.0009</v>
      </c>
      <c r="D34" s="29">
        <f>INPUT!$B$21</f>
        <v>0.0359</v>
      </c>
      <c r="E34" s="29">
        <f>ROUND(E29/32*4,4)</f>
        <v>0</v>
      </c>
      <c r="F34" s="29">
        <f>ROUND($F$9/8,4)</f>
        <v>0.0495</v>
      </c>
      <c r="G34" s="29">
        <f t="shared" si="2"/>
        <v>0.0863</v>
      </c>
    </row>
    <row r="35" spans="1:7" ht="13.5" thickBot="1">
      <c r="A35" s="23" t="s">
        <v>67</v>
      </c>
      <c r="B35" s="30">
        <v>2.155</v>
      </c>
      <c r="C35" s="29">
        <f>ROUND(B35*RAW!$K$13,4)</f>
        <v>0.0073</v>
      </c>
      <c r="D35" s="29">
        <f>INPUT!$B$22</f>
        <v>0.1039</v>
      </c>
      <c r="E35" s="29">
        <f>E29</f>
        <v>0</v>
      </c>
      <c r="F35" s="29">
        <f>ROUND($F$9,4)</f>
        <v>0.3958</v>
      </c>
      <c r="G35" s="29">
        <f t="shared" si="2"/>
        <v>0.507</v>
      </c>
    </row>
    <row r="36" spans="1:6" ht="14.25" thickBot="1" thickTop="1">
      <c r="A36" s="20" t="s">
        <v>49</v>
      </c>
      <c r="B36" s="31"/>
      <c r="F36" s="42"/>
    </row>
    <row r="37" spans="1:7" ht="13.5" thickTop="1">
      <c r="A37" s="22" t="s">
        <v>12</v>
      </c>
      <c r="B37" s="30">
        <v>8.63</v>
      </c>
      <c r="C37" s="25">
        <f>ROUND(B37*RAW!$K$14,4)</f>
        <v>0.0362</v>
      </c>
      <c r="D37" s="29">
        <f>INPUT!$B$13</f>
        <v>0</v>
      </c>
      <c r="E37" s="29">
        <f>E39*4</f>
        <v>0</v>
      </c>
      <c r="F37" s="29">
        <f>+F39*4</f>
        <v>1.5832</v>
      </c>
      <c r="G37" s="29">
        <f>ROUND(SUM(C37:F37),4)</f>
        <v>1.6194</v>
      </c>
    </row>
    <row r="38" spans="1:7" ht="12.75">
      <c r="A38" s="21" t="s">
        <v>63</v>
      </c>
      <c r="B38" s="30">
        <v>4.315</v>
      </c>
      <c r="C38" s="25">
        <f>ROUND(B38*RAW!$K$14,4)</f>
        <v>0.0181</v>
      </c>
      <c r="D38" s="29">
        <f>INPUT!$B$14</f>
        <v>0</v>
      </c>
      <c r="E38" s="29">
        <f>E39*2</f>
        <v>0</v>
      </c>
      <c r="F38" s="29">
        <f>+F39*2</f>
        <v>0.7916</v>
      </c>
      <c r="G38" s="29">
        <f aca="true" t="shared" si="3" ref="G38:G45">ROUND(SUM(C38:F38),4)</f>
        <v>0.8097</v>
      </c>
    </row>
    <row r="39" spans="1:7" ht="12.75">
      <c r="A39" s="21" t="s">
        <v>14</v>
      </c>
      <c r="B39" s="30">
        <v>2.1575</v>
      </c>
      <c r="C39" s="25">
        <f>ROUND(B39*RAW!$K$14,4)</f>
        <v>0.0091</v>
      </c>
      <c r="D39" s="29">
        <f>INPUT!$B$15</f>
        <v>0</v>
      </c>
      <c r="E39" s="29">
        <f>INPUT!B$35</f>
        <v>0</v>
      </c>
      <c r="F39" s="29">
        <f>INPUT!$B$30</f>
        <v>0.3958</v>
      </c>
      <c r="G39" s="29">
        <f t="shared" si="3"/>
        <v>0.4049</v>
      </c>
    </row>
    <row r="40" spans="1:7" ht="12.75">
      <c r="A40" s="21" t="s">
        <v>15</v>
      </c>
      <c r="B40" s="30">
        <v>1.07875</v>
      </c>
      <c r="C40" s="25">
        <f>ROUND(B40*RAW!$K$14,4)</f>
        <v>0.0045</v>
      </c>
      <c r="D40" s="29">
        <f>INPUT!$B$16</f>
        <v>0</v>
      </c>
      <c r="E40" s="29">
        <f>ROUND(E39/2,4)</f>
        <v>0</v>
      </c>
      <c r="F40" s="29">
        <f>ROUND($F$9/2,4)</f>
        <v>0.1979</v>
      </c>
      <c r="G40" s="29">
        <f t="shared" si="3"/>
        <v>0.2024</v>
      </c>
    </row>
    <row r="41" spans="1:7" ht="12.75">
      <c r="A41" s="26" t="s">
        <v>162</v>
      </c>
      <c r="B41" s="30">
        <f>B42/10*12</f>
        <v>0.8090628000000001</v>
      </c>
      <c r="C41" s="25">
        <f>ROUND(B41*RAW!$K$14,4)</f>
        <v>0.0034</v>
      </c>
      <c r="D41" s="29">
        <f>INPUT!$B$17</f>
        <v>0.1766</v>
      </c>
      <c r="E41" s="29">
        <f>ROUND(E38/32*12,4)</f>
        <v>0</v>
      </c>
      <c r="F41" s="29">
        <f>ROUND($F$9/32*12,4)</f>
        <v>0.1484</v>
      </c>
      <c r="G41" s="29">
        <f t="shared" si="3"/>
        <v>0.3284</v>
      </c>
    </row>
    <row r="42" spans="1:7" ht="12.75">
      <c r="A42" s="21" t="s">
        <v>64</v>
      </c>
      <c r="B42" s="30">
        <v>0.674219</v>
      </c>
      <c r="C42" s="25">
        <f>ROUND(B42*RAW!$K$14,4)</f>
        <v>0.0028</v>
      </c>
      <c r="D42" s="29">
        <f>INPUT!$B$18</f>
        <v>0.0544</v>
      </c>
      <c r="E42" s="29">
        <f>ROUND(E39/32*10,4)</f>
        <v>0</v>
      </c>
      <c r="F42" s="29">
        <f>ROUND($F$9/32*10,4)</f>
        <v>0.1237</v>
      </c>
      <c r="G42" s="29">
        <f t="shared" si="3"/>
        <v>0.1809</v>
      </c>
    </row>
    <row r="43" spans="1:7" ht="12.75">
      <c r="A43" s="21" t="s">
        <v>65</v>
      </c>
      <c r="B43" s="30">
        <v>0.539375</v>
      </c>
      <c r="C43" s="25">
        <f>ROUND(B43*RAW!$K$14,4)</f>
        <v>0.0023</v>
      </c>
      <c r="D43" s="29">
        <f>INPUT!$B$19</f>
        <v>0</v>
      </c>
      <c r="E43" s="29">
        <f>ROUND(E39/4,4)</f>
        <v>0</v>
      </c>
      <c r="F43" s="29">
        <f>ROUND($F$9/4,4)</f>
        <v>0.099</v>
      </c>
      <c r="G43" s="29">
        <f t="shared" si="3"/>
        <v>0.1013</v>
      </c>
    </row>
    <row r="44" spans="1:7" ht="12.75">
      <c r="A44" s="21" t="s">
        <v>66</v>
      </c>
      <c r="B44" s="30">
        <v>0.269688</v>
      </c>
      <c r="C44" s="25">
        <f>ROUND(B44*RAW!$K$14,4)</f>
        <v>0.0011</v>
      </c>
      <c r="D44" s="29">
        <f>INPUT!$B$21</f>
        <v>0.0359</v>
      </c>
      <c r="E44" s="29">
        <f>ROUND(E39/32*4,4)</f>
        <v>0</v>
      </c>
      <c r="F44" s="29">
        <f>ROUND($F$9/8,4)</f>
        <v>0.0495</v>
      </c>
      <c r="G44" s="29">
        <f t="shared" si="3"/>
        <v>0.0865</v>
      </c>
    </row>
    <row r="45" spans="1:7" ht="13.5" thickBot="1">
      <c r="A45" s="23" t="s">
        <v>67</v>
      </c>
      <c r="B45" s="30">
        <v>2.1575</v>
      </c>
      <c r="C45" s="25">
        <f>ROUND(B45*RAW!$K$14,4)</f>
        <v>0.0091</v>
      </c>
      <c r="D45" s="29">
        <f>INPUT!$B$22</f>
        <v>0.1039</v>
      </c>
      <c r="E45" s="29">
        <f>E39</f>
        <v>0</v>
      </c>
      <c r="F45" s="29">
        <f>ROUND($F$9,4)</f>
        <v>0.3958</v>
      </c>
      <c r="G45" s="29">
        <f t="shared" si="3"/>
        <v>0.5088</v>
      </c>
    </row>
    <row r="46" spans="1:6" ht="14.25" thickBot="1" thickTop="1">
      <c r="A46" s="20" t="s">
        <v>25</v>
      </c>
      <c r="B46" s="31"/>
      <c r="F46" s="42"/>
    </row>
    <row r="47" spans="1:7" ht="13.5" thickTop="1">
      <c r="A47" s="22" t="s">
        <v>12</v>
      </c>
      <c r="B47" s="30">
        <v>8</v>
      </c>
      <c r="C47" s="29">
        <f>ROUND(B47*RAW!$K$15,4)</f>
        <v>0.0264</v>
      </c>
      <c r="D47" s="29">
        <f>INPUT!$B$13</f>
        <v>0</v>
      </c>
      <c r="E47" s="29">
        <f>E49*4</f>
        <v>0</v>
      </c>
      <c r="F47" s="29">
        <f>+F49*4</f>
        <v>1.5832</v>
      </c>
      <c r="G47" s="29">
        <f>ROUND(SUM(C47:F47),4)</f>
        <v>1.6096</v>
      </c>
    </row>
    <row r="48" spans="1:7" ht="12.75">
      <c r="A48" s="21" t="s">
        <v>63</v>
      </c>
      <c r="B48" s="30">
        <v>4</v>
      </c>
      <c r="C48" s="29">
        <f>ROUND(B48*RAW!$K$15,4)</f>
        <v>0.0132</v>
      </c>
      <c r="D48" s="29">
        <f>INPUT!$B$14</f>
        <v>0</v>
      </c>
      <c r="E48" s="29">
        <f>E49*2</f>
        <v>0</v>
      </c>
      <c r="F48" s="29">
        <f>+F49*2</f>
        <v>0.7916</v>
      </c>
      <c r="G48" s="29">
        <f aca="true" t="shared" si="4" ref="G48:G55">ROUND(SUM(C48:F48),4)</f>
        <v>0.8048</v>
      </c>
    </row>
    <row r="49" spans="1:7" ht="12.75">
      <c r="A49" s="21" t="s">
        <v>14</v>
      </c>
      <c r="B49" s="30">
        <v>2</v>
      </c>
      <c r="C49" s="29">
        <f>ROUND(B49*RAW!$K$15,4)</f>
        <v>0.0066</v>
      </c>
      <c r="D49" s="29">
        <f>INPUT!$B$15</f>
        <v>0</v>
      </c>
      <c r="E49" s="29">
        <f>INPUT!B$35</f>
        <v>0</v>
      </c>
      <c r="F49" s="29">
        <f>INPUT!$B$30</f>
        <v>0.3958</v>
      </c>
      <c r="G49" s="29">
        <f t="shared" si="4"/>
        <v>0.4024</v>
      </c>
    </row>
    <row r="50" spans="1:7" ht="12.75">
      <c r="A50" s="21" t="s">
        <v>15</v>
      </c>
      <c r="B50" s="30">
        <v>1</v>
      </c>
      <c r="C50" s="29">
        <f>ROUND(B50*RAW!$K$15,4)</f>
        <v>0.0033</v>
      </c>
      <c r="D50" s="29">
        <f>INPUT!$B$16</f>
        <v>0</v>
      </c>
      <c r="E50" s="29">
        <f>ROUND(E49/2,4)</f>
        <v>0</v>
      </c>
      <c r="F50" s="29">
        <f>ROUND($F$9/2,4)</f>
        <v>0.1979</v>
      </c>
      <c r="G50" s="29">
        <f t="shared" si="4"/>
        <v>0.2012</v>
      </c>
    </row>
    <row r="51" spans="1:7" ht="12.75">
      <c r="A51" s="26" t="s">
        <v>162</v>
      </c>
      <c r="B51" s="30">
        <f>B52/10*12</f>
        <v>0.75</v>
      </c>
      <c r="C51" s="29">
        <f>ROUND(B51*RAW!$K$15,4)</f>
        <v>0.0025</v>
      </c>
      <c r="D51" s="29">
        <f>INPUT!$B$17</f>
        <v>0.1766</v>
      </c>
      <c r="E51" s="29">
        <f>ROUND(E48/32*12,4)</f>
        <v>0</v>
      </c>
      <c r="F51" s="29">
        <f>ROUND($F$9/32*12,4)</f>
        <v>0.1484</v>
      </c>
      <c r="G51" s="29">
        <f t="shared" si="4"/>
        <v>0.3275</v>
      </c>
    </row>
    <row r="52" spans="1:7" ht="12.75">
      <c r="A52" s="21" t="s">
        <v>64</v>
      </c>
      <c r="B52" s="30">
        <v>0.625</v>
      </c>
      <c r="C52" s="29">
        <f>ROUND(B52*RAW!$K$15,4)</f>
        <v>0.0021</v>
      </c>
      <c r="D52" s="29">
        <f>INPUT!$B$18</f>
        <v>0.0544</v>
      </c>
      <c r="E52" s="29">
        <f>ROUND(E49/32*10,4)</f>
        <v>0</v>
      </c>
      <c r="F52" s="29">
        <f>ROUND($F$9/32*10,4)</f>
        <v>0.1237</v>
      </c>
      <c r="G52" s="29">
        <f t="shared" si="4"/>
        <v>0.1802</v>
      </c>
    </row>
    <row r="53" spans="1:7" ht="12.75">
      <c r="A53" s="21" t="s">
        <v>65</v>
      </c>
      <c r="B53" s="30">
        <v>0.5</v>
      </c>
      <c r="C53" s="29">
        <f>ROUND(B53*RAW!$K$15,4)</f>
        <v>0.0017</v>
      </c>
      <c r="D53" s="29">
        <f>INPUT!$B$19</f>
        <v>0</v>
      </c>
      <c r="E53" s="29">
        <f>ROUND(E49/4,4)</f>
        <v>0</v>
      </c>
      <c r="F53" s="29">
        <f>ROUND($F$9/4,4)</f>
        <v>0.099</v>
      </c>
      <c r="G53" s="29">
        <f t="shared" si="4"/>
        <v>0.1007</v>
      </c>
    </row>
    <row r="54" spans="1:7" ht="12.75">
      <c r="A54" s="21" t="s">
        <v>66</v>
      </c>
      <c r="B54" s="30">
        <v>0.25</v>
      </c>
      <c r="C54" s="29">
        <f>ROUND(B54*RAW!$K$15,4)</f>
        <v>0.0008</v>
      </c>
      <c r="D54" s="29">
        <f>INPUT!$B$21</f>
        <v>0.0359</v>
      </c>
      <c r="E54" s="29">
        <f>ROUND(E49/32*4,4)</f>
        <v>0</v>
      </c>
      <c r="F54" s="29">
        <f>ROUND($F$9/8,4)</f>
        <v>0.0495</v>
      </c>
      <c r="G54" s="29">
        <f t="shared" si="4"/>
        <v>0.0862</v>
      </c>
    </row>
    <row r="55" spans="1:7" ht="13.5" thickBot="1">
      <c r="A55" s="23" t="s">
        <v>67</v>
      </c>
      <c r="B55" s="30">
        <v>2</v>
      </c>
      <c r="C55" s="29">
        <f>ROUND(B55*RAW!$K$15,4)</f>
        <v>0.0066</v>
      </c>
      <c r="D55" s="29">
        <f>INPUT!$B$22</f>
        <v>0.1039</v>
      </c>
      <c r="E55" s="29">
        <f>E49</f>
        <v>0</v>
      </c>
      <c r="F55" s="29">
        <f>ROUND($F$9,4)</f>
        <v>0.3958</v>
      </c>
      <c r="G55" s="29">
        <f t="shared" si="4"/>
        <v>0.5063</v>
      </c>
    </row>
    <row r="56" spans="1:6" ht="14.25" thickBot="1" thickTop="1">
      <c r="A56" s="20" t="s">
        <v>50</v>
      </c>
      <c r="B56" s="31"/>
      <c r="F56" s="42"/>
    </row>
    <row r="57" spans="1:7" ht="13.5" thickTop="1">
      <c r="A57" s="22" t="s">
        <v>12</v>
      </c>
      <c r="B57" s="30">
        <v>8</v>
      </c>
      <c r="C57" s="29">
        <f>ROUND(B57*RAW!$K$16,4)</f>
        <v>0.0264</v>
      </c>
      <c r="D57" s="29">
        <f>INPUT!$B$13</f>
        <v>0</v>
      </c>
      <c r="E57" s="29">
        <f>E59*4</f>
        <v>0</v>
      </c>
      <c r="F57" s="29">
        <f>+F59*4</f>
        <v>1.5832</v>
      </c>
      <c r="G57" s="29">
        <f>ROUND(SUM(C57:F57),4)</f>
        <v>1.6096</v>
      </c>
    </row>
    <row r="58" spans="1:7" ht="12.75">
      <c r="A58" s="21" t="s">
        <v>63</v>
      </c>
      <c r="B58" s="30">
        <v>4</v>
      </c>
      <c r="C58" s="29">
        <f>ROUND(B58*RAW!$K$16,4)</f>
        <v>0.0132</v>
      </c>
      <c r="D58" s="29">
        <f>INPUT!$B$14</f>
        <v>0</v>
      </c>
      <c r="E58" s="29">
        <f>E59*2</f>
        <v>0</v>
      </c>
      <c r="F58" s="29">
        <f>+F59*2</f>
        <v>0.7916</v>
      </c>
      <c r="G58" s="29">
        <f aca="true" t="shared" si="5" ref="G58:G65">ROUND(SUM(C58:F58),4)</f>
        <v>0.8048</v>
      </c>
    </row>
    <row r="59" spans="1:7" ht="12.75">
      <c r="A59" s="21" t="s">
        <v>14</v>
      </c>
      <c r="B59" s="30">
        <v>2</v>
      </c>
      <c r="C59" s="29">
        <f>ROUND(B59*RAW!$K$16,4)</f>
        <v>0.0066</v>
      </c>
      <c r="D59" s="29">
        <f>INPUT!$B$15</f>
        <v>0</v>
      </c>
      <c r="E59" s="29">
        <f>INPUT!B$35</f>
        <v>0</v>
      </c>
      <c r="F59" s="29">
        <f>INPUT!$B$30</f>
        <v>0.3958</v>
      </c>
      <c r="G59" s="29">
        <f t="shared" si="5"/>
        <v>0.4024</v>
      </c>
    </row>
    <row r="60" spans="1:7" ht="12.75">
      <c r="A60" s="21" t="s">
        <v>15</v>
      </c>
      <c r="B60" s="30">
        <v>1</v>
      </c>
      <c r="C60" s="29">
        <f>ROUND(B60*RAW!$K$16,4)</f>
        <v>0.0033</v>
      </c>
      <c r="D60" s="29">
        <f>INPUT!$B$16</f>
        <v>0</v>
      </c>
      <c r="E60" s="29">
        <f>ROUND(E59/2,4)</f>
        <v>0</v>
      </c>
      <c r="F60" s="29">
        <f>ROUND($F$9/2,4)</f>
        <v>0.1979</v>
      </c>
      <c r="G60" s="29">
        <f t="shared" si="5"/>
        <v>0.2012</v>
      </c>
    </row>
    <row r="61" spans="1:7" ht="12.75">
      <c r="A61" s="26" t="s">
        <v>162</v>
      </c>
      <c r="B61" s="30">
        <f>B62/10*12</f>
        <v>0.75</v>
      </c>
      <c r="C61" s="29">
        <f>ROUND(B61*RAW!$K$16,4)</f>
        <v>0.0025</v>
      </c>
      <c r="D61" s="29">
        <f>INPUT!$B$17</f>
        <v>0.1766</v>
      </c>
      <c r="E61" s="29">
        <f>ROUND(E58/32*12,4)</f>
        <v>0</v>
      </c>
      <c r="F61" s="29">
        <f>ROUND($F$9/32*12,4)</f>
        <v>0.1484</v>
      </c>
      <c r="G61" s="29">
        <f t="shared" si="5"/>
        <v>0.3275</v>
      </c>
    </row>
    <row r="62" spans="1:7" ht="12.75">
      <c r="A62" s="21" t="s">
        <v>64</v>
      </c>
      <c r="B62" s="30">
        <v>0.625</v>
      </c>
      <c r="C62" s="29">
        <f>ROUND(B62*RAW!$K$16,4)</f>
        <v>0.0021</v>
      </c>
      <c r="D62" s="29">
        <f>INPUT!$B$18</f>
        <v>0.0544</v>
      </c>
      <c r="E62" s="29">
        <f>ROUND(E59/32*10,4)</f>
        <v>0</v>
      </c>
      <c r="F62" s="29">
        <f>ROUND($F$9/32*10,4)</f>
        <v>0.1237</v>
      </c>
      <c r="G62" s="29">
        <f t="shared" si="5"/>
        <v>0.1802</v>
      </c>
    </row>
    <row r="63" spans="1:7" ht="12.75">
      <c r="A63" s="21" t="s">
        <v>65</v>
      </c>
      <c r="B63" s="30">
        <v>0.5</v>
      </c>
      <c r="C63" s="29">
        <f>ROUND(B63*RAW!$K$16,4)</f>
        <v>0.0017</v>
      </c>
      <c r="D63" s="29">
        <f>INPUT!$B$19</f>
        <v>0</v>
      </c>
      <c r="E63" s="29">
        <f>ROUND(E59/4,4)</f>
        <v>0</v>
      </c>
      <c r="F63" s="29">
        <f>ROUND($F$9/4,4)</f>
        <v>0.099</v>
      </c>
      <c r="G63" s="29">
        <f t="shared" si="5"/>
        <v>0.1007</v>
      </c>
    </row>
    <row r="64" spans="1:7" ht="12.75">
      <c r="A64" s="21" t="s">
        <v>66</v>
      </c>
      <c r="B64" s="30">
        <v>0.25</v>
      </c>
      <c r="C64" s="29">
        <f>ROUND(B64*RAW!$K$16,4)</f>
        <v>0.0008</v>
      </c>
      <c r="D64" s="29">
        <f>INPUT!$B$21</f>
        <v>0.0359</v>
      </c>
      <c r="E64" s="29">
        <f>ROUND(E59/32*4,4)</f>
        <v>0</v>
      </c>
      <c r="F64" s="29">
        <f>ROUND($F$9/8,4)</f>
        <v>0.0495</v>
      </c>
      <c r="G64" s="29">
        <f t="shared" si="5"/>
        <v>0.0862</v>
      </c>
    </row>
    <row r="65" spans="1:7" ht="13.5" thickBot="1">
      <c r="A65" s="23" t="s">
        <v>67</v>
      </c>
      <c r="B65" s="30">
        <v>2</v>
      </c>
      <c r="C65" s="29">
        <f>ROUND(B65*RAW!$K$16,4)</f>
        <v>0.0066</v>
      </c>
      <c r="D65" s="29">
        <f>INPUT!$B$22</f>
        <v>0.1039</v>
      </c>
      <c r="E65" s="29">
        <f>E59</f>
        <v>0</v>
      </c>
      <c r="F65" s="29">
        <f>ROUND($F$9,4)</f>
        <v>0.3958</v>
      </c>
      <c r="G65" s="29">
        <f t="shared" si="5"/>
        <v>0.5063</v>
      </c>
    </row>
    <row r="66" spans="1:6" ht="14.25" thickBot="1" thickTop="1">
      <c r="A66" s="20" t="s">
        <v>172</v>
      </c>
      <c r="B66" s="31"/>
      <c r="F66" s="42"/>
    </row>
    <row r="67" spans="1:7" ht="13.5" thickTop="1">
      <c r="A67" s="22" t="s">
        <v>12</v>
      </c>
      <c r="B67" s="30">
        <v>8</v>
      </c>
      <c r="C67" s="29">
        <f>ROUND(B67*RAW!$K$17,4)</f>
        <v>0.0264</v>
      </c>
      <c r="D67" s="29">
        <f>INPUT!$B$13</f>
        <v>0</v>
      </c>
      <c r="E67" s="29">
        <f>E69*4</f>
        <v>0</v>
      </c>
      <c r="F67" s="29">
        <f>+F69*4</f>
        <v>1.5832</v>
      </c>
      <c r="G67" s="29">
        <f>ROUND(SUM(C67:F67),4)</f>
        <v>1.6096</v>
      </c>
    </row>
    <row r="68" spans="1:7" ht="12.75">
      <c r="A68" s="21" t="s">
        <v>63</v>
      </c>
      <c r="B68" s="30">
        <v>4</v>
      </c>
      <c r="C68" s="29">
        <f>ROUND(B68*RAW!$K$17,4)</f>
        <v>0.0132</v>
      </c>
      <c r="D68" s="29">
        <f>INPUT!$B$14</f>
        <v>0</v>
      </c>
      <c r="E68" s="29">
        <f>E69*2</f>
        <v>0</v>
      </c>
      <c r="F68" s="29">
        <f>+F69*2</f>
        <v>0.7916</v>
      </c>
      <c r="G68" s="29">
        <f aca="true" t="shared" si="6" ref="G68:G75">ROUND(SUM(C68:F68),4)</f>
        <v>0.8048</v>
      </c>
    </row>
    <row r="69" spans="1:7" ht="12.75">
      <c r="A69" s="21" t="s">
        <v>14</v>
      </c>
      <c r="B69" s="30">
        <v>2</v>
      </c>
      <c r="C69" s="29">
        <f>ROUND(B69*RAW!$K$17,4)</f>
        <v>0.0066</v>
      </c>
      <c r="D69" s="29">
        <f>INPUT!$B$15</f>
        <v>0</v>
      </c>
      <c r="E69" s="29">
        <f>INPUT!B$35</f>
        <v>0</v>
      </c>
      <c r="F69" s="29">
        <f>INPUT!$B$30</f>
        <v>0.3958</v>
      </c>
      <c r="G69" s="29">
        <f t="shared" si="6"/>
        <v>0.4024</v>
      </c>
    </row>
    <row r="70" spans="1:7" ht="12.75">
      <c r="A70" s="21" t="s">
        <v>15</v>
      </c>
      <c r="B70" s="30">
        <v>1</v>
      </c>
      <c r="C70" s="29">
        <f>ROUND(B70*RAW!$K$17,4)</f>
        <v>0.0033</v>
      </c>
      <c r="D70" s="29">
        <f>INPUT!$B$16</f>
        <v>0</v>
      </c>
      <c r="E70" s="29">
        <f>ROUND(E69/2,4)</f>
        <v>0</v>
      </c>
      <c r="F70" s="29">
        <f>ROUND($F$9/2,4)</f>
        <v>0.1979</v>
      </c>
      <c r="G70" s="29">
        <f t="shared" si="6"/>
        <v>0.2012</v>
      </c>
    </row>
    <row r="71" spans="1:7" ht="12.75">
      <c r="A71" s="26" t="s">
        <v>162</v>
      </c>
      <c r="B71" s="30">
        <f>B72/10*12</f>
        <v>0.75</v>
      </c>
      <c r="C71" s="29">
        <f>ROUND(B71*RAW!$K$17,4)</f>
        <v>0.0025</v>
      </c>
      <c r="D71" s="29">
        <f>INPUT!$B$17</f>
        <v>0.1766</v>
      </c>
      <c r="E71" s="29">
        <f>ROUND(E68/32*12,4)</f>
        <v>0</v>
      </c>
      <c r="F71" s="29">
        <f>ROUND($F$9/32*12,4)</f>
        <v>0.1484</v>
      </c>
      <c r="G71" s="29">
        <f t="shared" si="6"/>
        <v>0.3275</v>
      </c>
    </row>
    <row r="72" spans="1:7" ht="12.75">
      <c r="A72" s="21" t="s">
        <v>64</v>
      </c>
      <c r="B72" s="30">
        <v>0.625</v>
      </c>
      <c r="C72" s="29">
        <f>ROUND(B72*RAW!$K$17,4)</f>
        <v>0.0021</v>
      </c>
      <c r="D72" s="29">
        <f>INPUT!$B$18</f>
        <v>0.0544</v>
      </c>
      <c r="E72" s="29">
        <f>ROUND(E69/32*10,4)</f>
        <v>0</v>
      </c>
      <c r="F72" s="29">
        <f>ROUND($F$9/32*10,4)</f>
        <v>0.1237</v>
      </c>
      <c r="G72" s="29">
        <f t="shared" si="6"/>
        <v>0.1802</v>
      </c>
    </row>
    <row r="73" spans="1:7" ht="12.75">
      <c r="A73" s="21" t="s">
        <v>65</v>
      </c>
      <c r="B73" s="30">
        <v>0.5</v>
      </c>
      <c r="C73" s="29">
        <f>ROUND(B73*RAW!$K$17,4)</f>
        <v>0.0017</v>
      </c>
      <c r="D73" s="29">
        <f>INPUT!$B$19</f>
        <v>0</v>
      </c>
      <c r="E73" s="29">
        <f>ROUND(E69/4,4)</f>
        <v>0</v>
      </c>
      <c r="F73" s="29">
        <f>ROUND($F$9/4,4)</f>
        <v>0.099</v>
      </c>
      <c r="G73" s="29">
        <f t="shared" si="6"/>
        <v>0.1007</v>
      </c>
    </row>
    <row r="74" spans="1:7" ht="12.75">
      <c r="A74" s="21" t="s">
        <v>66</v>
      </c>
      <c r="B74" s="30">
        <v>0.25</v>
      </c>
      <c r="C74" s="29">
        <f>ROUND(B74*RAW!$K$17,4)</f>
        <v>0.0008</v>
      </c>
      <c r="D74" s="29">
        <f>INPUT!$B$21</f>
        <v>0.0359</v>
      </c>
      <c r="E74" s="29">
        <f>ROUND(E69/32*4,4)</f>
        <v>0</v>
      </c>
      <c r="F74" s="29">
        <f>ROUND($F$9/8,4)</f>
        <v>0.0495</v>
      </c>
      <c r="G74" s="29">
        <f t="shared" si="6"/>
        <v>0.0862</v>
      </c>
    </row>
    <row r="75" spans="1:7" ht="13.5" thickBot="1">
      <c r="A75" s="23" t="s">
        <v>67</v>
      </c>
      <c r="B75" s="30">
        <v>2</v>
      </c>
      <c r="C75" s="29">
        <f>ROUND(B75*RAW!$K$17,4)</f>
        <v>0.0066</v>
      </c>
      <c r="D75" s="29">
        <f>INPUT!$B$22</f>
        <v>0.1039</v>
      </c>
      <c r="E75" s="29">
        <f>E69</f>
        <v>0</v>
      </c>
      <c r="F75" s="29">
        <f>ROUND($F$9,4)</f>
        <v>0.3958</v>
      </c>
      <c r="G75" s="29">
        <f t="shared" si="6"/>
        <v>0.5063</v>
      </c>
    </row>
    <row r="76" spans="1:6" ht="14.25" thickBot="1" thickTop="1">
      <c r="A76" s="20" t="s">
        <v>27</v>
      </c>
      <c r="B76" s="31"/>
      <c r="F76" s="42"/>
    </row>
    <row r="77" spans="1:7" ht="13.5" thickTop="1">
      <c r="A77" s="22" t="s">
        <v>12</v>
      </c>
      <c r="B77" s="30">
        <v>8.62</v>
      </c>
      <c r="C77" s="29">
        <f>ROUND(B77*RAW!$K$18,4)</f>
        <v>0.4017</v>
      </c>
      <c r="D77" s="29">
        <f>INPUT!$B$13</f>
        <v>0</v>
      </c>
      <c r="E77" s="29">
        <f>E79*4</f>
        <v>0</v>
      </c>
      <c r="F77" s="29">
        <f>+F79*4</f>
        <v>1.5832</v>
      </c>
      <c r="G77" s="29">
        <f>ROUND(SUM(C77:F77),4)</f>
        <v>1.9849</v>
      </c>
    </row>
    <row r="78" spans="1:7" ht="12.75">
      <c r="A78" s="21" t="s">
        <v>63</v>
      </c>
      <c r="B78" s="30">
        <v>4.31</v>
      </c>
      <c r="C78" s="29">
        <f>ROUND(B78*RAW!$K$18,4)</f>
        <v>0.2008</v>
      </c>
      <c r="D78" s="29">
        <f>INPUT!$B$14</f>
        <v>0</v>
      </c>
      <c r="E78" s="29">
        <f>E79*2</f>
        <v>0</v>
      </c>
      <c r="F78" s="29">
        <f>+F79*2</f>
        <v>0.7916</v>
      </c>
      <c r="G78" s="29">
        <f aca="true" t="shared" si="7" ref="G78:G85">ROUND(SUM(C78:F78),4)</f>
        <v>0.9924</v>
      </c>
    </row>
    <row r="79" spans="1:7" ht="12.75">
      <c r="A79" s="21" t="s">
        <v>14</v>
      </c>
      <c r="B79" s="30">
        <v>2.155</v>
      </c>
      <c r="C79" s="29">
        <f>ROUND(B79*RAW!$K$18,4)</f>
        <v>0.1004</v>
      </c>
      <c r="D79" s="29">
        <f>INPUT!$B$15</f>
        <v>0</v>
      </c>
      <c r="E79" s="29">
        <f>INPUT!B$35</f>
        <v>0</v>
      </c>
      <c r="F79" s="29">
        <f>INPUT!$B$30</f>
        <v>0.3958</v>
      </c>
      <c r="G79" s="29">
        <f t="shared" si="7"/>
        <v>0.4962</v>
      </c>
    </row>
    <row r="80" spans="1:7" ht="12.75">
      <c r="A80" s="21" t="s">
        <v>15</v>
      </c>
      <c r="B80" s="30">
        <v>1.0775</v>
      </c>
      <c r="C80" s="29">
        <f>ROUND(B80*RAW!$K$18,4)</f>
        <v>0.0502</v>
      </c>
      <c r="D80" s="29">
        <f>INPUT!$B$16</f>
        <v>0</v>
      </c>
      <c r="E80" s="29">
        <f>ROUND(E79/2,4)</f>
        <v>0</v>
      </c>
      <c r="F80" s="29">
        <f>ROUND($F$9/2,4)</f>
        <v>0.1979</v>
      </c>
      <c r="G80" s="29">
        <f t="shared" si="7"/>
        <v>0.2481</v>
      </c>
    </row>
    <row r="81" spans="1:7" ht="12.75">
      <c r="A81" s="26" t="s">
        <v>162</v>
      </c>
      <c r="B81" s="30">
        <f>ROUND(B82/10*12,4)</f>
        <v>0.8081</v>
      </c>
      <c r="C81" s="29">
        <f>ROUND(B81*RAW!$K$18,4)</f>
        <v>0.0377</v>
      </c>
      <c r="D81" s="29">
        <f>INPUT!$B$17</f>
        <v>0.1766</v>
      </c>
      <c r="E81" s="29">
        <f>ROUND(E78/32*12,4)</f>
        <v>0</v>
      </c>
      <c r="F81" s="29">
        <f>ROUND($F$9/32*12,4)</f>
        <v>0.1484</v>
      </c>
      <c r="G81" s="29">
        <f t="shared" si="7"/>
        <v>0.3627</v>
      </c>
    </row>
    <row r="82" spans="1:7" ht="12.75">
      <c r="A82" s="21" t="s">
        <v>64</v>
      </c>
      <c r="B82" s="30">
        <f>ROUND(0.673438,4)</f>
        <v>0.6734</v>
      </c>
      <c r="C82" s="29">
        <f>ROUND(B82*RAW!$K$18,4)</f>
        <v>0.0314</v>
      </c>
      <c r="D82" s="29">
        <f>INPUT!$B$18</f>
        <v>0.0544</v>
      </c>
      <c r="E82" s="29">
        <f>ROUND(E79/32*10,4)</f>
        <v>0</v>
      </c>
      <c r="F82" s="29">
        <f>ROUND($F$9/32*10,4)</f>
        <v>0.1237</v>
      </c>
      <c r="G82" s="29">
        <f t="shared" si="7"/>
        <v>0.2095</v>
      </c>
    </row>
    <row r="83" spans="1:7" ht="12.75">
      <c r="A83" s="21" t="s">
        <v>65</v>
      </c>
      <c r="B83" s="30">
        <v>0.53875</v>
      </c>
      <c r="C83" s="29">
        <f>ROUND(B83*RAW!$K$18,4)</f>
        <v>0.0251</v>
      </c>
      <c r="D83" s="29">
        <f>INPUT!$B$19</f>
        <v>0</v>
      </c>
      <c r="E83" s="29">
        <f>ROUND(E79/4,4)</f>
        <v>0</v>
      </c>
      <c r="F83" s="29">
        <f>ROUND($F$9/4,4)</f>
        <v>0.099</v>
      </c>
      <c r="G83" s="29">
        <f t="shared" si="7"/>
        <v>0.1241</v>
      </c>
    </row>
    <row r="84" spans="1:7" ht="12.75">
      <c r="A84" s="21" t="s">
        <v>66</v>
      </c>
      <c r="B84" s="30">
        <v>0.269375</v>
      </c>
      <c r="C84" s="29">
        <f>ROUND(B84*RAW!$K$18,4)</f>
        <v>0.0126</v>
      </c>
      <c r="D84" s="29">
        <f>INPUT!$B$21</f>
        <v>0.0359</v>
      </c>
      <c r="E84" s="29">
        <f>ROUND(E79/32*4,4)</f>
        <v>0</v>
      </c>
      <c r="F84" s="29">
        <f>ROUND($F$9/8,4)</f>
        <v>0.0495</v>
      </c>
      <c r="G84" s="29">
        <f t="shared" si="7"/>
        <v>0.098</v>
      </c>
    </row>
    <row r="85" spans="1:7" ht="13.5" thickBot="1">
      <c r="A85" s="23" t="s">
        <v>67</v>
      </c>
      <c r="B85" s="30">
        <v>2.155</v>
      </c>
      <c r="C85" s="29">
        <f>ROUND(B85*RAW!$K$18,4)</f>
        <v>0.1004</v>
      </c>
      <c r="D85" s="29">
        <f>INPUT!$B$22</f>
        <v>0.1039</v>
      </c>
      <c r="E85" s="29">
        <f>E79</f>
        <v>0</v>
      </c>
      <c r="F85" s="29">
        <f>ROUND($F$9,4)</f>
        <v>0.3958</v>
      </c>
      <c r="G85" s="29">
        <f t="shared" si="7"/>
        <v>0.6001</v>
      </c>
    </row>
    <row r="86" spans="1:6" ht="14.25" thickBot="1" thickTop="1">
      <c r="A86" s="20" t="s">
        <v>141</v>
      </c>
      <c r="B86" s="31"/>
      <c r="F86" s="42"/>
    </row>
    <row r="87" spans="1:7" ht="13.5" thickTop="1">
      <c r="A87" s="22" t="s">
        <v>12</v>
      </c>
      <c r="B87" s="30">
        <f>B89*4</f>
        <v>8</v>
      </c>
      <c r="C87" s="29">
        <f>ROUND(B87*RAW!$K$19,4)</f>
        <v>2.044</v>
      </c>
      <c r="D87" s="29">
        <f>INPUT!$B$13</f>
        <v>0</v>
      </c>
      <c r="E87" s="29">
        <f>E89*4</f>
        <v>0</v>
      </c>
      <c r="F87" s="29">
        <f>+F89*4</f>
        <v>1.5832</v>
      </c>
      <c r="G87" s="29">
        <f>ROUND(SUM(C87:F87),4)</f>
        <v>3.6272</v>
      </c>
    </row>
    <row r="88" spans="1:7" ht="12.75">
      <c r="A88" s="21" t="s">
        <v>63</v>
      </c>
      <c r="B88" s="30">
        <f>B87/2</f>
        <v>4</v>
      </c>
      <c r="C88" s="29">
        <f>ROUND(B88*RAW!$K$19,4)</f>
        <v>1.022</v>
      </c>
      <c r="D88" s="29">
        <f>INPUT!$B$14</f>
        <v>0</v>
      </c>
      <c r="E88" s="29">
        <f>E89*2</f>
        <v>0</v>
      </c>
      <c r="F88" s="29">
        <f>+F89*2</f>
        <v>0.7916</v>
      </c>
      <c r="G88" s="29">
        <f aca="true" t="shared" si="8" ref="G88:G95">ROUND(SUM(C88:F88),4)</f>
        <v>1.8136</v>
      </c>
    </row>
    <row r="89" spans="1:7" ht="12.75">
      <c r="A89" s="21" t="s">
        <v>14</v>
      </c>
      <c r="B89" s="30">
        <v>2</v>
      </c>
      <c r="C89" s="29">
        <f>ROUND(B89*RAW!$K$19,4)</f>
        <v>0.511</v>
      </c>
      <c r="D89" s="29">
        <f>INPUT!$B$15</f>
        <v>0</v>
      </c>
      <c r="E89" s="29">
        <f>INPUT!B$35</f>
        <v>0</v>
      </c>
      <c r="F89" s="29">
        <f>INPUT!$B$30</f>
        <v>0.3958</v>
      </c>
      <c r="G89" s="29">
        <f t="shared" si="8"/>
        <v>0.9068</v>
      </c>
    </row>
    <row r="90" spans="1:7" ht="12.75">
      <c r="A90" s="21" t="s">
        <v>15</v>
      </c>
      <c r="B90" s="30">
        <f>B89/2</f>
        <v>1</v>
      </c>
      <c r="C90" s="29">
        <f>ROUND(B90*RAW!$K$19,4)</f>
        <v>0.2555</v>
      </c>
      <c r="D90" s="29">
        <f>INPUT!$B$16</f>
        <v>0</v>
      </c>
      <c r="E90" s="29">
        <f>ROUND(E89/2,4)</f>
        <v>0</v>
      </c>
      <c r="F90" s="29">
        <f>ROUND($F$9/2,4)</f>
        <v>0.1979</v>
      </c>
      <c r="G90" s="29">
        <f t="shared" si="8"/>
        <v>0.4534</v>
      </c>
    </row>
    <row r="91" spans="1:7" ht="12.75">
      <c r="A91" s="26" t="s">
        <v>162</v>
      </c>
      <c r="B91" s="30">
        <f>B92/10*12</f>
        <v>0.75</v>
      </c>
      <c r="C91" s="29">
        <f>ROUND(B91*RAW!$K$19,4)</f>
        <v>0.1916</v>
      </c>
      <c r="D91" s="29">
        <f>INPUT!$B$17</f>
        <v>0.1766</v>
      </c>
      <c r="E91" s="29">
        <f>ROUND(E88/32*12,4)</f>
        <v>0</v>
      </c>
      <c r="F91" s="29">
        <f>ROUND($F$9/32*12,4)</f>
        <v>0.1484</v>
      </c>
      <c r="G91" s="29">
        <f t="shared" si="8"/>
        <v>0.5166</v>
      </c>
    </row>
    <row r="92" spans="1:7" ht="12.75">
      <c r="A92" s="21" t="s">
        <v>64</v>
      </c>
      <c r="B92" s="30">
        <f>B89/32*10</f>
        <v>0.625</v>
      </c>
      <c r="C92" s="29">
        <f>ROUND(B92*RAW!$K$19,4)</f>
        <v>0.1597</v>
      </c>
      <c r="D92" s="29">
        <f>INPUT!$B$18</f>
        <v>0.0544</v>
      </c>
      <c r="E92" s="29">
        <f>ROUND(E89/32*10,4)</f>
        <v>0</v>
      </c>
      <c r="F92" s="29">
        <f>ROUND($F$9/32*10,4)</f>
        <v>0.1237</v>
      </c>
      <c r="G92" s="29">
        <f t="shared" si="8"/>
        <v>0.3378</v>
      </c>
    </row>
    <row r="93" spans="1:7" ht="12.75">
      <c r="A93" s="21" t="s">
        <v>65</v>
      </c>
      <c r="B93" s="30">
        <f>B90/2</f>
        <v>0.5</v>
      </c>
      <c r="C93" s="29">
        <f>ROUND(B93*RAW!$K$19,4)</f>
        <v>0.1278</v>
      </c>
      <c r="D93" s="29">
        <f>INPUT!$B$19</f>
        <v>0</v>
      </c>
      <c r="E93" s="29">
        <f>ROUND(E89/4,4)</f>
        <v>0</v>
      </c>
      <c r="F93" s="29">
        <f>ROUND($F$9/4,4)</f>
        <v>0.099</v>
      </c>
      <c r="G93" s="29">
        <f t="shared" si="8"/>
        <v>0.2268</v>
      </c>
    </row>
    <row r="94" spans="1:7" ht="12.75">
      <c r="A94" s="21" t="s">
        <v>66</v>
      </c>
      <c r="B94" s="30">
        <f>B93/2</f>
        <v>0.25</v>
      </c>
      <c r="C94" s="29">
        <f>ROUND(B94*RAW!$K$19,4)</f>
        <v>0.0639</v>
      </c>
      <c r="D94" s="29">
        <f>INPUT!$B$21</f>
        <v>0.0359</v>
      </c>
      <c r="E94" s="29">
        <f>ROUND(E89/32*4,4)</f>
        <v>0</v>
      </c>
      <c r="F94" s="29">
        <f>ROUND($F$9/8,4)</f>
        <v>0.0495</v>
      </c>
      <c r="G94" s="29">
        <f t="shared" si="8"/>
        <v>0.1493</v>
      </c>
    </row>
    <row r="95" spans="1:7" ht="13.5" thickBot="1">
      <c r="A95" s="23" t="s">
        <v>67</v>
      </c>
      <c r="B95" s="30">
        <f>B89</f>
        <v>2</v>
      </c>
      <c r="C95" s="29">
        <f>ROUND(B95*RAW!$K$19,4)</f>
        <v>0.511</v>
      </c>
      <c r="D95" s="29">
        <f>INPUT!$B$22</f>
        <v>0.1039</v>
      </c>
      <c r="E95" s="29">
        <f>E89</f>
        <v>0</v>
      </c>
      <c r="F95" s="29">
        <f>ROUND($F$9,4)</f>
        <v>0.3958</v>
      </c>
      <c r="G95" s="29">
        <f t="shared" si="8"/>
        <v>1.0107</v>
      </c>
    </row>
    <row r="96" spans="1:6" ht="14.25" thickBot="1" thickTop="1">
      <c r="A96" s="20" t="s">
        <v>68</v>
      </c>
      <c r="B96" s="31"/>
      <c r="F96" s="42"/>
    </row>
    <row r="97" spans="1:7" ht="13.5" thickTop="1">
      <c r="A97" s="22" t="s">
        <v>63</v>
      </c>
      <c r="B97" s="30">
        <v>4.275</v>
      </c>
      <c r="C97" s="29">
        <f>ROUND(B97*RAW!$K$20,4)</f>
        <v>0</v>
      </c>
      <c r="D97" s="29">
        <f>INPUT!$B$14</f>
        <v>0</v>
      </c>
      <c r="E97" s="29">
        <f>E98*2</f>
        <v>0</v>
      </c>
      <c r="F97" s="29">
        <f>+F98*2</f>
        <v>0.7916</v>
      </c>
      <c r="G97" s="29">
        <f aca="true" t="shared" si="9" ref="G97:G107">ROUND(SUM(C97:F97),4)</f>
        <v>0.7916</v>
      </c>
    </row>
    <row r="98" spans="1:7" ht="12.75">
      <c r="A98" s="21" t="s">
        <v>14</v>
      </c>
      <c r="B98" s="30">
        <v>2.1375</v>
      </c>
      <c r="C98" s="29">
        <f>ROUND(B98*RAW!$K$20,4)</f>
        <v>0</v>
      </c>
      <c r="D98" s="29">
        <f>INPUT!$B$15</f>
        <v>0</v>
      </c>
      <c r="E98" s="29">
        <f>INPUT!B$35</f>
        <v>0</v>
      </c>
      <c r="F98" s="29">
        <f>INPUT!$B$30</f>
        <v>0.3958</v>
      </c>
      <c r="G98" s="29">
        <f t="shared" si="9"/>
        <v>0.3958</v>
      </c>
    </row>
    <row r="99" spans="1:7" ht="12.75">
      <c r="A99" s="21" t="s">
        <v>15</v>
      </c>
      <c r="B99" s="30">
        <v>1.06875</v>
      </c>
      <c r="C99" s="29">
        <f>ROUND(B99*RAW!$K$20,4)</f>
        <v>0</v>
      </c>
      <c r="D99" s="29">
        <f>INPUT!$B$16</f>
        <v>0</v>
      </c>
      <c r="E99" s="29">
        <f>ROUND(E98/2,4)</f>
        <v>0</v>
      </c>
      <c r="F99" s="29">
        <f>ROUND($F$9/2,4)</f>
        <v>0.1979</v>
      </c>
      <c r="G99" s="29">
        <f t="shared" si="9"/>
        <v>0.1979</v>
      </c>
    </row>
    <row r="100" spans="1:7" ht="12.75">
      <c r="A100" s="26" t="s">
        <v>162</v>
      </c>
      <c r="B100" s="30">
        <f>ROUND(B101/10*12,4)</f>
        <v>0.8016</v>
      </c>
      <c r="C100" s="29">
        <f>ROUND(B100*RAW!$K$20,4)</f>
        <v>0</v>
      </c>
      <c r="D100" s="29">
        <f>INPUT!$B$17</f>
        <v>0.1766</v>
      </c>
      <c r="E100" s="29">
        <f>ROUND(E97/32*12,4)</f>
        <v>0</v>
      </c>
      <c r="F100" s="29">
        <f>ROUND($F$9/32*12,4)</f>
        <v>0.1484</v>
      </c>
      <c r="G100" s="29">
        <f t="shared" si="9"/>
        <v>0.325</v>
      </c>
    </row>
    <row r="101" spans="1:7" ht="12.75">
      <c r="A101" s="21" t="s">
        <v>64</v>
      </c>
      <c r="B101" s="30">
        <v>0.667969</v>
      </c>
      <c r="C101" s="29">
        <f>ROUND(B101*RAW!$K$20,4)</f>
        <v>0</v>
      </c>
      <c r="D101" s="29">
        <f>INPUT!$B$18</f>
        <v>0.0544</v>
      </c>
      <c r="E101" s="29">
        <f>ROUND(E98/32*10,4)</f>
        <v>0</v>
      </c>
      <c r="F101" s="29">
        <f>ROUND($F$9/32*10,4)</f>
        <v>0.1237</v>
      </c>
      <c r="G101" s="29">
        <f t="shared" si="9"/>
        <v>0.1781</v>
      </c>
    </row>
    <row r="102" spans="1:7" ht="12.75">
      <c r="A102" s="21" t="s">
        <v>65</v>
      </c>
      <c r="B102" s="30">
        <v>0.534375</v>
      </c>
      <c r="C102" s="29">
        <f>ROUND(B102*RAW!$K$20,4)</f>
        <v>0</v>
      </c>
      <c r="D102" s="29">
        <f>INPUT!$B$19</f>
        <v>0</v>
      </c>
      <c r="E102" s="29">
        <f>ROUND(E98/4,4)</f>
        <v>0</v>
      </c>
      <c r="F102" s="29">
        <f>ROUND($F$9/4,4)</f>
        <v>0.099</v>
      </c>
      <c r="G102" s="29">
        <f t="shared" si="9"/>
        <v>0.099</v>
      </c>
    </row>
    <row r="103" spans="1:7" ht="12.75">
      <c r="A103" s="21" t="s">
        <v>66</v>
      </c>
      <c r="B103" s="30">
        <v>0.267188</v>
      </c>
      <c r="C103" s="29">
        <f>ROUND(B103*RAW!$K$20,4)</f>
        <v>0</v>
      </c>
      <c r="D103" s="29">
        <f>INPUT!$B$21</f>
        <v>0.0359</v>
      </c>
      <c r="E103" s="29">
        <f>ROUND(E98/32*4,4)</f>
        <v>0</v>
      </c>
      <c r="F103" s="29">
        <f>ROUND($F$9/8,4)</f>
        <v>0.0495</v>
      </c>
      <c r="G103" s="29">
        <f t="shared" si="9"/>
        <v>0.0854</v>
      </c>
    </row>
    <row r="104" spans="1:7" ht="12.75">
      <c r="A104" s="21" t="s">
        <v>67</v>
      </c>
      <c r="B104" s="30">
        <v>2.1375</v>
      </c>
      <c r="C104" s="29">
        <f>ROUND(B104*RAW!$K$20,4)</f>
        <v>0</v>
      </c>
      <c r="D104" s="29">
        <f>INPUT!$B$22</f>
        <v>0.1039</v>
      </c>
      <c r="E104" s="29">
        <f>E98</f>
        <v>0</v>
      </c>
      <c r="F104" s="29">
        <f>ROUND($F$9,4)</f>
        <v>0.3958</v>
      </c>
      <c r="G104" s="29">
        <f t="shared" si="9"/>
        <v>0.4997</v>
      </c>
    </row>
    <row r="105" spans="1:7" ht="12.75">
      <c r="A105" s="21" t="s">
        <v>69</v>
      </c>
      <c r="B105" s="30">
        <v>0.025049</v>
      </c>
      <c r="C105" s="29">
        <f>ROUND(B105*RAW!$K$20,4)</f>
        <v>0</v>
      </c>
      <c r="D105" s="25"/>
      <c r="E105" s="25"/>
      <c r="F105" s="29">
        <f>F103/32*3</f>
        <v>0.004640625000000001</v>
      </c>
      <c r="G105" s="29">
        <f t="shared" si="9"/>
        <v>0.0046</v>
      </c>
    </row>
    <row r="106" spans="1:7" ht="12.75">
      <c r="A106" s="21" t="s">
        <v>70</v>
      </c>
      <c r="B106" s="30">
        <v>0.033399</v>
      </c>
      <c r="C106" s="29">
        <f>ROUND(B106*RAW!$K$20,4)</f>
        <v>0</v>
      </c>
      <c r="D106" s="25"/>
      <c r="E106" s="25"/>
      <c r="F106" s="29">
        <f>F103/8</f>
        <v>0.0061875</v>
      </c>
      <c r="G106" s="29">
        <f t="shared" si="9"/>
        <v>0.0062</v>
      </c>
    </row>
    <row r="107" spans="1:7" ht="13.5" thickBot="1">
      <c r="A107" s="23" t="s">
        <v>71</v>
      </c>
      <c r="B107" s="30">
        <v>0.050098</v>
      </c>
      <c r="C107" s="29">
        <f>ROUND(B107*RAW!$K$20,4)</f>
        <v>0</v>
      </c>
      <c r="D107" s="25"/>
      <c r="E107" s="25"/>
      <c r="F107" s="29">
        <f>F103/16*3</f>
        <v>0.009281250000000001</v>
      </c>
      <c r="G107" s="29">
        <f t="shared" si="9"/>
        <v>0.0093</v>
      </c>
    </row>
    <row r="108" spans="1:6" ht="14.25" thickBot="1" thickTop="1">
      <c r="A108" s="20" t="s">
        <v>72</v>
      </c>
      <c r="B108" s="31"/>
      <c r="F108" s="42"/>
    </row>
    <row r="109" spans="1:7" ht="13.5" thickTop="1">
      <c r="A109" s="22" t="s">
        <v>63</v>
      </c>
      <c r="B109" s="30">
        <v>4.255</v>
      </c>
      <c r="C109" s="29">
        <f>ROUND(B109*RAW!$K$22,4)</f>
        <v>0</v>
      </c>
      <c r="D109" s="29">
        <f>INPUT!$B$14</f>
        <v>0</v>
      </c>
      <c r="E109" s="29">
        <f>E110*2</f>
        <v>0</v>
      </c>
      <c r="F109" s="29">
        <f>+F110*2</f>
        <v>0.7916</v>
      </c>
      <c r="G109" s="29">
        <f aca="true" t="shared" si="10" ref="G109:G116">ROUND(SUM(C109:F109),4)</f>
        <v>0.7916</v>
      </c>
    </row>
    <row r="110" spans="1:7" ht="12.75">
      <c r="A110" s="21" t="s">
        <v>14</v>
      </c>
      <c r="B110" s="30">
        <v>2.1275</v>
      </c>
      <c r="C110" s="29">
        <f>ROUND(B110*RAW!$K$22,4)</f>
        <v>0</v>
      </c>
      <c r="D110" s="29">
        <f>INPUT!$B$15</f>
        <v>0</v>
      </c>
      <c r="E110" s="29">
        <f>INPUT!B$35</f>
        <v>0</v>
      </c>
      <c r="F110" s="29">
        <f>INPUT!$B$30</f>
        <v>0.3958</v>
      </c>
      <c r="G110" s="29">
        <f t="shared" si="10"/>
        <v>0.3958</v>
      </c>
    </row>
    <row r="111" spans="1:7" ht="12.75">
      <c r="A111" s="21" t="s">
        <v>15</v>
      </c>
      <c r="B111" s="30">
        <v>1.06375</v>
      </c>
      <c r="C111" s="29">
        <f>ROUND(B111*RAW!$K$22,4)</f>
        <v>0</v>
      </c>
      <c r="D111" s="29">
        <f>INPUT!$B$16</f>
        <v>0</v>
      </c>
      <c r="E111" s="29">
        <f>ROUND(E110/2,4)</f>
        <v>0</v>
      </c>
      <c r="F111" s="29">
        <f>ROUND($F$9/2,4)</f>
        <v>0.1979</v>
      </c>
      <c r="G111" s="29">
        <f t="shared" si="10"/>
        <v>0.1979</v>
      </c>
    </row>
    <row r="112" spans="1:7" ht="12.75">
      <c r="A112" s="26" t="s">
        <v>162</v>
      </c>
      <c r="B112" s="30">
        <f>B113/10*12</f>
        <v>0.7978128</v>
      </c>
      <c r="C112" s="29">
        <f>ROUND(B112*RAW!$K$22,4)</f>
        <v>0</v>
      </c>
      <c r="D112" s="29">
        <f>INPUT!$B$17</f>
        <v>0.1766</v>
      </c>
      <c r="E112" s="29">
        <f>ROUND(E109/32*12,4)</f>
        <v>0</v>
      </c>
      <c r="F112" s="29">
        <f>ROUND($F$9/32*12,4)</f>
        <v>0.1484</v>
      </c>
      <c r="G112" s="29">
        <f t="shared" si="10"/>
        <v>0.325</v>
      </c>
    </row>
    <row r="113" spans="1:7" ht="12.75">
      <c r="A113" s="21" t="s">
        <v>64</v>
      </c>
      <c r="B113" s="30">
        <v>0.664844</v>
      </c>
      <c r="C113" s="29">
        <f>ROUND(B113*RAW!$K$22,4)</f>
        <v>0</v>
      </c>
      <c r="D113" s="29">
        <f>INPUT!$B$18</f>
        <v>0.0544</v>
      </c>
      <c r="E113" s="29">
        <f>ROUND(E110/32*10,4)</f>
        <v>0</v>
      </c>
      <c r="F113" s="29">
        <f>ROUND($F$9/32*10,4)</f>
        <v>0.1237</v>
      </c>
      <c r="G113" s="29">
        <f t="shared" si="10"/>
        <v>0.1781</v>
      </c>
    </row>
    <row r="114" spans="1:7" ht="12.75">
      <c r="A114" s="21" t="s">
        <v>65</v>
      </c>
      <c r="B114" s="30">
        <v>0.531875</v>
      </c>
      <c r="C114" s="29">
        <f>ROUND(B114*RAW!$K$22,4)</f>
        <v>0</v>
      </c>
      <c r="D114" s="29">
        <f>INPUT!$B$19</f>
        <v>0</v>
      </c>
      <c r="E114" s="29">
        <f>ROUND(E110/4,4)</f>
        <v>0</v>
      </c>
      <c r="F114" s="29">
        <f>ROUND($F$9/4,4)</f>
        <v>0.099</v>
      </c>
      <c r="G114" s="29">
        <f t="shared" si="10"/>
        <v>0.099</v>
      </c>
    </row>
    <row r="115" spans="1:7" ht="12.75">
      <c r="A115" s="21" t="s">
        <v>66</v>
      </c>
      <c r="B115" s="30">
        <v>0.265938</v>
      </c>
      <c r="C115" s="29">
        <f>ROUND(B115*RAW!$K$22,4)</f>
        <v>0</v>
      </c>
      <c r="D115" s="29">
        <f>INPUT!$B$21</f>
        <v>0.0359</v>
      </c>
      <c r="E115" s="29">
        <f>ROUND(E110/32*4,4)</f>
        <v>0</v>
      </c>
      <c r="F115" s="29">
        <f>ROUND($F$9/8,4)</f>
        <v>0.0495</v>
      </c>
      <c r="G115" s="29">
        <f t="shared" si="10"/>
        <v>0.0854</v>
      </c>
    </row>
    <row r="116" spans="1:7" ht="13.5" thickBot="1">
      <c r="A116" s="23" t="s">
        <v>67</v>
      </c>
      <c r="B116" s="30">
        <v>2.1275</v>
      </c>
      <c r="C116" s="29">
        <f>ROUND(B116*RAW!$K$22,4)</f>
        <v>0</v>
      </c>
      <c r="D116" s="29">
        <f>INPUT!$B$22</f>
        <v>0.1039</v>
      </c>
      <c r="E116" s="29">
        <f>E110</f>
        <v>0</v>
      </c>
      <c r="F116" s="29">
        <f>ROUND($F$9,4)</f>
        <v>0.3958</v>
      </c>
      <c r="G116" s="29">
        <f t="shared" si="10"/>
        <v>0.4997</v>
      </c>
    </row>
    <row r="117" spans="1:6" ht="14.25" thickBot="1" thickTop="1">
      <c r="A117" s="20" t="s">
        <v>55</v>
      </c>
      <c r="B117" s="31"/>
      <c r="F117" s="42"/>
    </row>
    <row r="118" spans="1:7" ht="13.5" thickTop="1">
      <c r="A118" s="22" t="s">
        <v>63</v>
      </c>
      <c r="B118" s="30">
        <f>B119*2</f>
        <v>4.195</v>
      </c>
      <c r="C118" s="29">
        <f>ROUND(B118*RAW!$K$23,4)</f>
        <v>0</v>
      </c>
      <c r="D118" s="29">
        <f>INPUT!$B$14</f>
        <v>0</v>
      </c>
      <c r="E118" s="29">
        <f>E119*2</f>
        <v>0</v>
      </c>
      <c r="F118" s="29">
        <f>+F119*2</f>
        <v>0.7916</v>
      </c>
      <c r="G118" s="29">
        <f aca="true" t="shared" si="11" ref="G118:G125">ROUND(SUM(C118:F118),4)</f>
        <v>0.7916</v>
      </c>
    </row>
    <row r="119" spans="1:7" ht="12.75">
      <c r="A119" s="21" t="s">
        <v>14</v>
      </c>
      <c r="B119" s="30">
        <v>2.0975</v>
      </c>
      <c r="C119" s="29">
        <f>ROUND(B119*RAW!$K$23,4)</f>
        <v>0</v>
      </c>
      <c r="D119" s="29">
        <f>INPUT!$B$15</f>
        <v>0</v>
      </c>
      <c r="E119" s="29">
        <f>INPUT!B$35</f>
        <v>0</v>
      </c>
      <c r="F119" s="29">
        <f>INPUT!$B$30</f>
        <v>0.3958</v>
      </c>
      <c r="G119" s="29">
        <f t="shared" si="11"/>
        <v>0.3958</v>
      </c>
    </row>
    <row r="120" spans="1:7" ht="12.75">
      <c r="A120" s="21" t="s">
        <v>15</v>
      </c>
      <c r="B120" s="30">
        <f>B119/2</f>
        <v>1.04875</v>
      </c>
      <c r="C120" s="29">
        <f>ROUND(B120*RAW!$K$23,4)</f>
        <v>0</v>
      </c>
      <c r="D120" s="29">
        <f>INPUT!$B$16</f>
        <v>0</v>
      </c>
      <c r="E120" s="29">
        <f>ROUND(E119/2,4)</f>
        <v>0</v>
      </c>
      <c r="F120" s="29">
        <f>ROUND($F$9/2,4)</f>
        <v>0.1979</v>
      </c>
      <c r="G120" s="29">
        <f t="shared" si="11"/>
        <v>0.1979</v>
      </c>
    </row>
    <row r="121" spans="1:7" ht="12.75">
      <c r="A121" s="26" t="s">
        <v>162</v>
      </c>
      <c r="B121" s="30">
        <f>ROUND(B122/10*12,4)</f>
        <v>0.7866</v>
      </c>
      <c r="C121" s="29">
        <f>ROUND(B121*RAW!$K$23,4)</f>
        <v>0</v>
      </c>
      <c r="D121" s="29">
        <f>INPUT!$B$17</f>
        <v>0.1766</v>
      </c>
      <c r="E121" s="29">
        <f>ROUND(E118/32*12,4)</f>
        <v>0</v>
      </c>
      <c r="F121" s="29">
        <f>ROUND($F$9/32*12,4)</f>
        <v>0.1484</v>
      </c>
      <c r="G121" s="29">
        <f t="shared" si="11"/>
        <v>0.325</v>
      </c>
    </row>
    <row r="122" spans="1:7" ht="12.75">
      <c r="A122" s="21" t="s">
        <v>64</v>
      </c>
      <c r="B122" s="30">
        <f>B119/32*10</f>
        <v>0.65546875</v>
      </c>
      <c r="C122" s="29">
        <f>ROUND(B122*RAW!$K$23,4)</f>
        <v>0</v>
      </c>
      <c r="D122" s="29">
        <f>INPUT!$B$18</f>
        <v>0.0544</v>
      </c>
      <c r="E122" s="29">
        <f>ROUND(E119/32*10,4)</f>
        <v>0</v>
      </c>
      <c r="F122" s="29">
        <f>ROUND($F$9/32*10,4)</f>
        <v>0.1237</v>
      </c>
      <c r="G122" s="29">
        <f t="shared" si="11"/>
        <v>0.1781</v>
      </c>
    </row>
    <row r="123" spans="1:7" ht="12.75">
      <c r="A123" s="21" t="s">
        <v>65</v>
      </c>
      <c r="B123" s="30">
        <f>B120/2</f>
        <v>0.524375</v>
      </c>
      <c r="C123" s="29">
        <f>ROUND(B123*RAW!$K$23,4)</f>
        <v>0</v>
      </c>
      <c r="D123" s="29">
        <f>INPUT!$B$19</f>
        <v>0</v>
      </c>
      <c r="E123" s="29">
        <f>ROUND(E119/4,4)</f>
        <v>0</v>
      </c>
      <c r="F123" s="29">
        <f>ROUND($F$9/4,4)</f>
        <v>0.099</v>
      </c>
      <c r="G123" s="29">
        <f t="shared" si="11"/>
        <v>0.099</v>
      </c>
    </row>
    <row r="124" spans="1:7" ht="12.75">
      <c r="A124" s="21" t="s">
        <v>66</v>
      </c>
      <c r="B124" s="30">
        <f>B123/2</f>
        <v>0.2621875</v>
      </c>
      <c r="C124" s="29">
        <f>ROUND(B124*RAW!$K$23,4)</f>
        <v>0</v>
      </c>
      <c r="D124" s="29">
        <f>INPUT!$B$21</f>
        <v>0.0359</v>
      </c>
      <c r="E124" s="29">
        <f>ROUND(E119/32*4,4)</f>
        <v>0</v>
      </c>
      <c r="F124" s="29">
        <f>ROUND($F$9/8,4)</f>
        <v>0.0495</v>
      </c>
      <c r="G124" s="29">
        <f t="shared" si="11"/>
        <v>0.0854</v>
      </c>
    </row>
    <row r="125" spans="1:7" ht="13.5" thickBot="1">
      <c r="A125" s="23" t="s">
        <v>67</v>
      </c>
      <c r="B125" s="30">
        <f>B119</f>
        <v>2.0975</v>
      </c>
      <c r="C125" s="29">
        <f>ROUND(B125*RAW!$K$23,4)</f>
        <v>0</v>
      </c>
      <c r="D125" s="29">
        <f>INPUT!$B$22</f>
        <v>0.1039</v>
      </c>
      <c r="E125" s="29">
        <f>E119</f>
        <v>0</v>
      </c>
      <c r="F125" s="29">
        <f>ROUND($F$9,4)</f>
        <v>0.3958</v>
      </c>
      <c r="G125" s="29">
        <f t="shared" si="11"/>
        <v>0.4997</v>
      </c>
    </row>
    <row r="126" spans="1:6" ht="14.25" thickBot="1" thickTop="1">
      <c r="A126" s="20" t="s">
        <v>56</v>
      </c>
      <c r="B126" s="31"/>
      <c r="F126" s="42"/>
    </row>
    <row r="127" spans="1:7" ht="13.5" thickTop="1">
      <c r="A127" s="22" t="s">
        <v>63</v>
      </c>
      <c r="B127" s="30">
        <f>B128*2</f>
        <v>4.16</v>
      </c>
      <c r="C127" s="29">
        <f>ROUND(B127*RAW!$K$24,4)</f>
        <v>0</v>
      </c>
      <c r="D127" s="29">
        <f>INPUT!$B$14</f>
        <v>0</v>
      </c>
      <c r="E127" s="29">
        <f>E128*2</f>
        <v>0</v>
      </c>
      <c r="F127" s="29">
        <f>+F128*2</f>
        <v>0.7916</v>
      </c>
      <c r="G127" s="29">
        <f aca="true" t="shared" si="12" ref="G127:G134">ROUND(SUM(C127:F127),4)</f>
        <v>0.7916</v>
      </c>
    </row>
    <row r="128" spans="1:7" ht="12.75">
      <c r="A128" s="21" t="s">
        <v>14</v>
      </c>
      <c r="B128" s="30">
        <v>2.08</v>
      </c>
      <c r="C128" s="29">
        <f>ROUND(B128*RAW!$K$24,4)</f>
        <v>0</v>
      </c>
      <c r="D128" s="29">
        <f>INPUT!$B$15</f>
        <v>0</v>
      </c>
      <c r="E128" s="29">
        <f>INPUT!B$35</f>
        <v>0</v>
      </c>
      <c r="F128" s="29">
        <f>INPUT!$B$30</f>
        <v>0.3958</v>
      </c>
      <c r="G128" s="29">
        <f t="shared" si="12"/>
        <v>0.3958</v>
      </c>
    </row>
    <row r="129" spans="1:7" ht="12.75">
      <c r="A129" s="21" t="s">
        <v>15</v>
      </c>
      <c r="B129" s="30">
        <f>B128/2</f>
        <v>1.04</v>
      </c>
      <c r="C129" s="29">
        <f>ROUND(B129*RAW!$K$24,4)</f>
        <v>0</v>
      </c>
      <c r="D129" s="29">
        <f>INPUT!$B$16</f>
        <v>0</v>
      </c>
      <c r="E129" s="29">
        <f>ROUND(E128/2,4)</f>
        <v>0</v>
      </c>
      <c r="F129" s="29">
        <f>ROUND($F$9/2,4)</f>
        <v>0.1979</v>
      </c>
      <c r="G129" s="29">
        <f t="shared" si="12"/>
        <v>0.1979</v>
      </c>
    </row>
    <row r="130" spans="1:7" ht="12.75">
      <c r="A130" s="26" t="s">
        <v>162</v>
      </c>
      <c r="B130" s="30">
        <f>B131/10*12</f>
        <v>0.78</v>
      </c>
      <c r="C130" s="29">
        <f>ROUND(B130*RAW!$K$24,4)</f>
        <v>0</v>
      </c>
      <c r="D130" s="29">
        <f>INPUT!$B$17</f>
        <v>0.1766</v>
      </c>
      <c r="E130" s="29">
        <f>ROUND(E127/32*12,4)</f>
        <v>0</v>
      </c>
      <c r="F130" s="29">
        <f>ROUND($F$9/32*12,4)</f>
        <v>0.1484</v>
      </c>
      <c r="G130" s="29">
        <f t="shared" si="12"/>
        <v>0.325</v>
      </c>
    </row>
    <row r="131" spans="1:7" ht="12.75">
      <c r="A131" s="21" t="s">
        <v>64</v>
      </c>
      <c r="B131" s="30">
        <f>B128/32*10</f>
        <v>0.65</v>
      </c>
      <c r="C131" s="29">
        <f>ROUND(B131*RAW!$K$24,4)</f>
        <v>0</v>
      </c>
      <c r="D131" s="29">
        <f>INPUT!$B$18</f>
        <v>0.0544</v>
      </c>
      <c r="E131" s="29">
        <f>ROUND(E128/32*10,4)</f>
        <v>0</v>
      </c>
      <c r="F131" s="29">
        <f>ROUND($F$9/32*10,4)</f>
        <v>0.1237</v>
      </c>
      <c r="G131" s="29">
        <f t="shared" si="12"/>
        <v>0.1781</v>
      </c>
    </row>
    <row r="132" spans="1:7" ht="12.75">
      <c r="A132" s="21" t="s">
        <v>65</v>
      </c>
      <c r="B132" s="30">
        <f>B129/2</f>
        <v>0.52</v>
      </c>
      <c r="C132" s="29">
        <f>ROUND(B132*RAW!$K$24,4)</f>
        <v>0</v>
      </c>
      <c r="D132" s="29">
        <f>INPUT!$B$19</f>
        <v>0</v>
      </c>
      <c r="E132" s="29">
        <f>ROUND(E128/4,4)</f>
        <v>0</v>
      </c>
      <c r="F132" s="29">
        <f>ROUND($F$9/4,4)</f>
        <v>0.099</v>
      </c>
      <c r="G132" s="29">
        <f t="shared" si="12"/>
        <v>0.099</v>
      </c>
    </row>
    <row r="133" spans="1:7" ht="12.75">
      <c r="A133" s="21" t="s">
        <v>66</v>
      </c>
      <c r="B133" s="30">
        <f>B132/2</f>
        <v>0.26</v>
      </c>
      <c r="C133" s="29">
        <f>ROUND(B133*RAW!$K$24,4)</f>
        <v>0</v>
      </c>
      <c r="D133" s="29">
        <f>INPUT!$B$21</f>
        <v>0.0359</v>
      </c>
      <c r="E133" s="29">
        <f>ROUND(E128/32*4,4)</f>
        <v>0</v>
      </c>
      <c r="F133" s="29">
        <f>ROUND($F$9/8,4)</f>
        <v>0.0495</v>
      </c>
      <c r="G133" s="29">
        <f t="shared" si="12"/>
        <v>0.0854</v>
      </c>
    </row>
    <row r="134" spans="1:7" ht="13.5" thickBot="1">
      <c r="A134" s="23" t="s">
        <v>67</v>
      </c>
      <c r="B134" s="30">
        <f>B128</f>
        <v>2.08</v>
      </c>
      <c r="C134" s="29">
        <f>ROUND(B134*RAW!$K$24,4)</f>
        <v>0</v>
      </c>
      <c r="D134" s="29">
        <f>INPUT!$B$22</f>
        <v>0.1039</v>
      </c>
      <c r="E134" s="29">
        <f>E128</f>
        <v>0</v>
      </c>
      <c r="F134" s="29">
        <f>ROUND($F$9,4)</f>
        <v>0.3958</v>
      </c>
      <c r="G134" s="29">
        <f t="shared" si="12"/>
        <v>0.4997</v>
      </c>
    </row>
    <row r="135" spans="1:6" ht="14.25" thickBot="1" thickTop="1">
      <c r="A135" s="20" t="s">
        <v>73</v>
      </c>
      <c r="B135" s="31"/>
      <c r="F135" s="42"/>
    </row>
    <row r="136" spans="1:7" ht="13.5" thickTop="1">
      <c r="A136" s="22" t="s">
        <v>63</v>
      </c>
      <c r="B136" s="30">
        <v>4.255</v>
      </c>
      <c r="C136" s="29">
        <f>ROUND(B136*RAW!$K$22,4)</f>
        <v>0</v>
      </c>
      <c r="D136" s="29"/>
      <c r="E136" s="29">
        <f>E137*2</f>
        <v>0</v>
      </c>
      <c r="F136" s="29">
        <f>+F137*2</f>
        <v>0.7916</v>
      </c>
      <c r="G136" s="29">
        <f aca="true" t="shared" si="13" ref="G136:G143">ROUND(SUM(C136:F136),4)</f>
        <v>0.7916</v>
      </c>
    </row>
    <row r="137" spans="1:7" ht="12.75">
      <c r="A137" s="21" t="s">
        <v>14</v>
      </c>
      <c r="B137" s="30">
        <v>2.1275</v>
      </c>
      <c r="C137" s="29">
        <f>ROUND(B137*RAW!$K$22,4)</f>
        <v>0</v>
      </c>
      <c r="D137" s="29"/>
      <c r="E137" s="29">
        <f>INPUT!B$35</f>
        <v>0</v>
      </c>
      <c r="F137" s="29">
        <f>INPUT!$B$30</f>
        <v>0.3958</v>
      </c>
      <c r="G137" s="29">
        <f t="shared" si="13"/>
        <v>0.3958</v>
      </c>
    </row>
    <row r="138" spans="1:7" ht="12.75">
      <c r="A138" s="21" t="s">
        <v>15</v>
      </c>
      <c r="B138" s="30">
        <v>1.06375</v>
      </c>
      <c r="C138" s="29">
        <f>ROUND(B138*RAW!$K$22,4)</f>
        <v>0</v>
      </c>
      <c r="D138" s="29"/>
      <c r="E138" s="29">
        <f>ROUND(E137/2,4)</f>
        <v>0</v>
      </c>
      <c r="F138" s="29">
        <f>ROUND($F$9/2,4)</f>
        <v>0.1979</v>
      </c>
      <c r="G138" s="29">
        <f t="shared" si="13"/>
        <v>0.1979</v>
      </c>
    </row>
    <row r="139" spans="1:7" ht="12.75">
      <c r="A139" s="26" t="s">
        <v>162</v>
      </c>
      <c r="B139" s="30">
        <f>B140/10*12</f>
        <v>0.7978128</v>
      </c>
      <c r="C139" s="29">
        <f>ROUND(B139*RAW!$K$22,4)</f>
        <v>0</v>
      </c>
      <c r="D139" s="29"/>
      <c r="E139" s="29">
        <f>ROUND(E136/32*12,4)</f>
        <v>0</v>
      </c>
      <c r="F139" s="29">
        <f>ROUND($F$9/32*12,4)</f>
        <v>0.1484</v>
      </c>
      <c r="G139" s="29">
        <f t="shared" si="13"/>
        <v>0.1484</v>
      </c>
    </row>
    <row r="140" spans="1:7" ht="12.75">
      <c r="A140" s="21" t="s">
        <v>64</v>
      </c>
      <c r="B140" s="30">
        <v>0.664844</v>
      </c>
      <c r="C140" s="29">
        <f>ROUND(B140*RAW!$K$22,4)</f>
        <v>0</v>
      </c>
      <c r="D140" s="29"/>
      <c r="E140" s="29">
        <f>ROUND(E137/32*10,4)</f>
        <v>0</v>
      </c>
      <c r="F140" s="29">
        <f>ROUND($F$9/32*10,4)</f>
        <v>0.1237</v>
      </c>
      <c r="G140" s="29">
        <f t="shared" si="13"/>
        <v>0.1237</v>
      </c>
    </row>
    <row r="141" spans="1:7" ht="12.75">
      <c r="A141" s="21" t="s">
        <v>65</v>
      </c>
      <c r="B141" s="30">
        <v>0.531875</v>
      </c>
      <c r="C141" s="29">
        <f>ROUND(B141*RAW!$K$22,4)</f>
        <v>0</v>
      </c>
      <c r="D141" s="29"/>
      <c r="E141" s="29">
        <f>ROUND(E137/4,4)</f>
        <v>0</v>
      </c>
      <c r="F141" s="29">
        <f>ROUND($F$9/4,4)</f>
        <v>0.099</v>
      </c>
      <c r="G141" s="29">
        <f t="shared" si="13"/>
        <v>0.099</v>
      </c>
    </row>
    <row r="142" spans="1:7" ht="12.75">
      <c r="A142" s="21" t="s">
        <v>66</v>
      </c>
      <c r="B142" s="30">
        <v>0.265938</v>
      </c>
      <c r="C142" s="29">
        <f>ROUND(B142*RAW!$K$22,4)</f>
        <v>0</v>
      </c>
      <c r="D142" s="29"/>
      <c r="E142" s="29">
        <f>ROUND(E137/32*4,4)</f>
        <v>0</v>
      </c>
      <c r="F142" s="29">
        <f>ROUND($F$9/8,4)</f>
        <v>0.0495</v>
      </c>
      <c r="G142" s="29">
        <f t="shared" si="13"/>
        <v>0.0495</v>
      </c>
    </row>
    <row r="143" spans="1:7" ht="12.75">
      <c r="A143" s="21" t="s">
        <v>67</v>
      </c>
      <c r="B143" s="30">
        <v>2.1275</v>
      </c>
      <c r="C143" s="29">
        <f>ROUND(B143*RAW!$K$22,4)</f>
        <v>0</v>
      </c>
      <c r="D143" s="29"/>
      <c r="E143" s="29">
        <f>E137</f>
        <v>0</v>
      </c>
      <c r="F143" s="29">
        <f>ROUND($F$9,4)</f>
        <v>0.3958</v>
      </c>
      <c r="G143" s="29">
        <f t="shared" si="13"/>
        <v>0.3958</v>
      </c>
    </row>
  </sheetData>
  <sheetProtection/>
  <printOptions horizontalCentered="1"/>
  <pageMargins left="0.75" right="0.75" top="1" bottom="1" header="0.5" footer="0.5"/>
  <pageSetup horizontalDpi="300" verticalDpi="300" orientation="portrait" r:id="rId1"/>
  <rowBreaks count="2" manualBreakCount="2">
    <brk id="41" max="65535" man="1"/>
    <brk id="7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zoomScale="90" zoomScaleNormal="90" zoomScalePageLayoutView="0" workbookViewId="0" topLeftCell="A4">
      <pane xSplit="1" ySplit="4" topLeftCell="B71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9.140625" defaultRowHeight="12.75"/>
  <cols>
    <col min="1" max="1" width="15.8515625" style="0" customWidth="1"/>
    <col min="2" max="2" width="12.00390625" style="0" customWidth="1"/>
    <col min="3" max="3" width="14.8515625" style="0" customWidth="1"/>
    <col min="4" max="5" width="12.57421875" style="0" customWidth="1"/>
    <col min="6" max="6" width="14.421875" style="0" customWidth="1"/>
    <col min="7" max="7" width="12.57421875" style="0" customWidth="1"/>
    <col min="8" max="8" width="8.8515625" style="0" customWidth="1"/>
    <col min="9" max="9" width="8.28125" style="0" customWidth="1"/>
    <col min="10" max="11" width="10.8515625" style="0" customWidth="1"/>
    <col min="12" max="13" width="12.57421875" style="0" customWidth="1"/>
    <col min="14" max="14" width="13.8515625" style="0" customWidth="1"/>
    <col min="15" max="15" width="11.00390625" style="0" customWidth="1"/>
    <col min="16" max="16" width="12.7109375" style="0" customWidth="1"/>
    <col min="17" max="17" width="8.28125" style="0" customWidth="1"/>
    <col min="18" max="18" width="11.57421875" style="0" customWidth="1"/>
    <col min="19" max="19" width="9.140625" style="0" hidden="1" customWidth="1"/>
    <col min="20" max="20" width="10.57421875" style="0" customWidth="1"/>
    <col min="21" max="21" width="12.8515625" style="108" hidden="1" customWidth="1"/>
    <col min="22" max="22" width="7.28125" style="0" customWidth="1"/>
    <col min="23" max="23" width="12.8515625" style="0" customWidth="1"/>
  </cols>
  <sheetData>
    <row r="1" spans="1:18" ht="12.7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2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3.5" thickBot="1">
      <c r="A3" s="33">
        <f ca="1">NOW()</f>
        <v>45278.58827662037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21" ht="13.5" thickTop="1">
      <c r="B4" s="18">
        <v>1</v>
      </c>
      <c r="C4" s="18">
        <v>2</v>
      </c>
      <c r="D4" s="18">
        <v>3</v>
      </c>
      <c r="E4" s="177"/>
      <c r="F4" s="175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32">
        <v>10</v>
      </c>
      <c r="M4" s="18">
        <v>11</v>
      </c>
      <c r="N4" s="18">
        <v>12</v>
      </c>
      <c r="O4" s="18">
        <v>13</v>
      </c>
      <c r="P4" s="18">
        <v>14</v>
      </c>
      <c r="Q4" s="18">
        <v>15</v>
      </c>
      <c r="R4" s="132">
        <v>16</v>
      </c>
      <c r="T4" s="105">
        <v>18</v>
      </c>
      <c r="U4" s="109">
        <v>19</v>
      </c>
    </row>
    <row r="5" spans="1:21" ht="12.75">
      <c r="A5" t="s">
        <v>75</v>
      </c>
      <c r="B5" s="143" t="s">
        <v>76</v>
      </c>
      <c r="C5" s="143" t="s">
        <v>77</v>
      </c>
      <c r="D5" s="143" t="s">
        <v>78</v>
      </c>
      <c r="E5" s="178" t="s">
        <v>148</v>
      </c>
      <c r="G5" s="143" t="s">
        <v>145</v>
      </c>
      <c r="H5" s="144">
        <f>INPUT!B70</f>
        <v>0.035</v>
      </c>
      <c r="I5" s="143" t="s">
        <v>79</v>
      </c>
      <c r="J5" s="143" t="s">
        <v>76</v>
      </c>
      <c r="K5" s="143" t="s">
        <v>78</v>
      </c>
      <c r="L5" s="145"/>
      <c r="M5" s="143"/>
      <c r="N5" s="143"/>
      <c r="O5" s="143" t="s">
        <v>80</v>
      </c>
      <c r="P5" s="143"/>
      <c r="Q5" s="146">
        <f>RETAIL_PRFT</f>
        <v>0.027</v>
      </c>
      <c r="R5" s="145"/>
      <c r="S5" s="147"/>
      <c r="T5" s="148"/>
      <c r="U5" s="110"/>
    </row>
    <row r="6" spans="2:24" ht="12.75">
      <c r="B6" s="143" t="s">
        <v>81</v>
      </c>
      <c r="C6" s="143" t="s">
        <v>82</v>
      </c>
      <c r="D6" s="143" t="s">
        <v>60</v>
      </c>
      <c r="E6" s="178" t="s">
        <v>149</v>
      </c>
      <c r="G6" s="143" t="s">
        <v>83</v>
      </c>
      <c r="H6" s="143" t="s">
        <v>84</v>
      </c>
      <c r="I6" s="143" t="s">
        <v>85</v>
      </c>
      <c r="J6" s="143" t="s">
        <v>86</v>
      </c>
      <c r="K6" s="143" t="s">
        <v>86</v>
      </c>
      <c r="L6" s="145" t="s">
        <v>144</v>
      </c>
      <c r="M6" s="143" t="s">
        <v>146</v>
      </c>
      <c r="N6" s="143" t="s">
        <v>87</v>
      </c>
      <c r="O6" s="143" t="s">
        <v>88</v>
      </c>
      <c r="P6" s="143" t="s">
        <v>89</v>
      </c>
      <c r="Q6" s="143" t="s">
        <v>90</v>
      </c>
      <c r="R6" s="145" t="s">
        <v>144</v>
      </c>
      <c r="S6" s="147"/>
      <c r="T6" s="143" t="s">
        <v>146</v>
      </c>
      <c r="U6" s="110" t="s">
        <v>90</v>
      </c>
      <c r="V6" t="s">
        <v>75</v>
      </c>
      <c r="W6" s="107" t="s">
        <v>75</v>
      </c>
      <c r="X6" s="106" t="s">
        <v>75</v>
      </c>
    </row>
    <row r="7" spans="2:24" ht="13.5" thickBot="1">
      <c r="B7" s="149" t="s">
        <v>45</v>
      </c>
      <c r="C7" s="149" t="s">
        <v>53</v>
      </c>
      <c r="D7" s="149" t="s">
        <v>91</v>
      </c>
      <c r="E7" s="179"/>
      <c r="F7" s="176" t="s">
        <v>150</v>
      </c>
      <c r="G7" s="149" t="s">
        <v>79</v>
      </c>
      <c r="H7" s="149" t="s">
        <v>92</v>
      </c>
      <c r="I7" s="149" t="s">
        <v>92</v>
      </c>
      <c r="J7" s="149" t="s">
        <v>91</v>
      </c>
      <c r="K7" s="149" t="s">
        <v>91</v>
      </c>
      <c r="L7" s="150" t="s">
        <v>83</v>
      </c>
      <c r="M7" s="149" t="s">
        <v>83</v>
      </c>
      <c r="N7" s="149" t="s">
        <v>83</v>
      </c>
      <c r="O7" s="149" t="s">
        <v>45</v>
      </c>
      <c r="P7" s="149" t="s">
        <v>45</v>
      </c>
      <c r="Q7" s="149" t="s">
        <v>92</v>
      </c>
      <c r="R7" s="150" t="s">
        <v>90</v>
      </c>
      <c r="S7" s="147"/>
      <c r="T7" s="149" t="s">
        <v>90</v>
      </c>
      <c r="U7" s="111" t="s">
        <v>93</v>
      </c>
      <c r="V7" t="s">
        <v>75</v>
      </c>
      <c r="W7" t="s">
        <v>75</v>
      </c>
      <c r="X7" t="s">
        <v>75</v>
      </c>
    </row>
    <row r="8" ht="14.25" thickBot="1" thickTop="1">
      <c r="A8" s="37" t="s">
        <v>21</v>
      </c>
    </row>
    <row r="9" spans="1:21" ht="14.25" thickBot="1" thickTop="1">
      <c r="A9" s="20" t="s">
        <v>12</v>
      </c>
      <c r="B9" s="34">
        <f>'CNTNR COST'!G7</f>
        <v>1.6116</v>
      </c>
      <c r="C9" s="24">
        <v>0</v>
      </c>
      <c r="D9" s="40">
        <v>-0.1217</v>
      </c>
      <c r="E9" s="38">
        <f>ROUND($E$11*4,4)</f>
        <v>0</v>
      </c>
      <c r="F9" s="38">
        <f>ROUND($F$11*4,4)</f>
        <v>0.0424</v>
      </c>
      <c r="G9" s="24">
        <f>ROUND(SUM(B9:F9),4)</f>
        <v>1.5323</v>
      </c>
      <c r="H9" s="24">
        <f>(G9/(1-$H$5))-G9</f>
        <v>0.055575647668393735</v>
      </c>
      <c r="I9" s="24">
        <f>ROUND(G9+H9,4)</f>
        <v>1.5879</v>
      </c>
      <c r="J9" s="24">
        <f>J11*4</f>
        <v>-0.522</v>
      </c>
      <c r="K9" s="40">
        <f>K11*4</f>
        <v>0.9748</v>
      </c>
      <c r="L9" s="133">
        <f aca="true" t="shared" si="0" ref="L9:L17">ROUND(SUM(I9:K9),4)</f>
        <v>2.0407</v>
      </c>
      <c r="M9" s="40">
        <v>2.8731</v>
      </c>
      <c r="N9" s="40">
        <f>ROUND(L9-(L9*WHSLE_DISCNT),4)</f>
        <v>1.7958</v>
      </c>
      <c r="O9" s="40">
        <f>INPUT!E$81</f>
        <v>0</v>
      </c>
      <c r="P9" s="100">
        <f>N9+O9</f>
        <v>1.7958</v>
      </c>
      <c r="Q9" s="40">
        <f>ROUND(P9/(1-RETAIL_PRFT)-P9,4)</f>
        <v>0.0498</v>
      </c>
      <c r="R9" s="136">
        <f>IF(ROUND(Q9+P9,2)&gt;L9,ROUND(Q9+P9,2),ROUND(L9+0.005,2))</f>
        <v>2.05</v>
      </c>
      <c r="S9" s="139">
        <v>0.1</v>
      </c>
      <c r="T9" s="140">
        <v>2.99</v>
      </c>
      <c r="U9" s="102">
        <f aca="true" t="shared" si="1" ref="U9:U17">R9-T9</f>
        <v>-0.9400000000000004</v>
      </c>
    </row>
    <row r="10" spans="1:21" ht="14.25" thickBot="1" thickTop="1">
      <c r="A10" s="20" t="s">
        <v>63</v>
      </c>
      <c r="B10" s="26">
        <f>'CNTNR COST'!G8</f>
        <v>0.8058</v>
      </c>
      <c r="C10" s="25">
        <v>0</v>
      </c>
      <c r="D10" s="29">
        <v>-0.0867</v>
      </c>
      <c r="E10" s="30">
        <f>ROUND($E$11*2,4)</f>
        <v>0</v>
      </c>
      <c r="F10" s="30">
        <f>ROUND($F$11*2,4)</f>
        <v>0.0212</v>
      </c>
      <c r="G10" s="25">
        <f aca="true" t="shared" si="2" ref="G10:G17">ROUND(SUM(B10:F10),4)</f>
        <v>0.7403</v>
      </c>
      <c r="H10" s="25">
        <f aca="true" t="shared" si="3" ref="H10:H17">(G10/(1-$H$5))-G10</f>
        <v>0.026850259067357496</v>
      </c>
      <c r="I10" s="25">
        <f aca="true" t="shared" si="4" ref="I10:I17">ROUND(G10+H10,4)</f>
        <v>0.7672</v>
      </c>
      <c r="J10" s="25">
        <f>J11*2</f>
        <v>-0.261</v>
      </c>
      <c r="K10" s="29">
        <f>K11*2</f>
        <v>0.4874</v>
      </c>
      <c r="L10" s="134">
        <f t="shared" si="0"/>
        <v>0.9936</v>
      </c>
      <c r="M10" s="29">
        <v>1.4818</v>
      </c>
      <c r="N10" s="29">
        <f aca="true" t="shared" si="5" ref="N10:N17">ROUND(L10-(L10*WHSLE_DISCNT),4)</f>
        <v>0.8744</v>
      </c>
      <c r="O10" s="29">
        <f>INPUT!E$82</f>
        <v>0</v>
      </c>
      <c r="P10" s="101">
        <f>O10+N10</f>
        <v>0.8744</v>
      </c>
      <c r="Q10" s="29">
        <f aca="true" t="shared" si="6" ref="Q10:Q17">ROUND(P10/(1-RETAIL_PRFT)-P10,4)</f>
        <v>0.0243</v>
      </c>
      <c r="R10" s="137">
        <f aca="true" t="shared" si="7" ref="R10:R16">IF(ROUND(Q10+P10,2)&gt;L10,ROUND(Q10+P10,2),ROUND(L10+0.005,2))</f>
        <v>1</v>
      </c>
      <c r="S10" s="139">
        <f>S9/2</f>
        <v>0.05</v>
      </c>
      <c r="T10" s="141">
        <v>1.54</v>
      </c>
      <c r="U10" s="103">
        <f t="shared" si="1"/>
        <v>-0.54</v>
      </c>
    </row>
    <row r="11" spans="1:21" ht="14.25" thickBot="1" thickTop="1">
      <c r="A11" s="20" t="s">
        <v>14</v>
      </c>
      <c r="B11" s="26">
        <f>'CNTNR COST'!G9</f>
        <v>0.4029</v>
      </c>
      <c r="C11" s="25">
        <v>0</v>
      </c>
      <c r="D11" s="29">
        <v>0.1131</v>
      </c>
      <c r="E11" s="30">
        <f>ENERGY_ADDON</f>
        <v>0</v>
      </c>
      <c r="F11" s="30">
        <f>ROUND(COST_UPDATE_ADJ,4)</f>
        <v>0.0106</v>
      </c>
      <c r="G11" s="25">
        <f t="shared" si="2"/>
        <v>0.5266</v>
      </c>
      <c r="H11" s="25">
        <f t="shared" si="3"/>
        <v>0.019099481865284984</v>
      </c>
      <c r="I11" s="25">
        <f t="shared" si="4"/>
        <v>0.5457</v>
      </c>
      <c r="J11" s="25">
        <v>-0.1305</v>
      </c>
      <c r="K11" s="29">
        <v>0.2437</v>
      </c>
      <c r="L11" s="134">
        <f t="shared" si="0"/>
        <v>0.6589</v>
      </c>
      <c r="M11" s="29">
        <v>0.7871</v>
      </c>
      <c r="N11" s="29">
        <f t="shared" si="5"/>
        <v>0.5798</v>
      </c>
      <c r="O11" s="29">
        <f>INPUT!E$83</f>
        <v>0</v>
      </c>
      <c r="P11" s="101">
        <f aca="true" t="shared" si="8" ref="P11:P17">O11+N11</f>
        <v>0.5798</v>
      </c>
      <c r="Q11" s="29">
        <f t="shared" si="6"/>
        <v>0.0161</v>
      </c>
      <c r="R11" s="137">
        <f t="shared" si="7"/>
        <v>0.66</v>
      </c>
      <c r="S11" s="139">
        <f>S10/2</f>
        <v>0.025</v>
      </c>
      <c r="T11" s="141">
        <v>0.81</v>
      </c>
      <c r="U11" s="103">
        <f t="shared" si="1"/>
        <v>-0.15000000000000002</v>
      </c>
    </row>
    <row r="12" spans="1:21" ht="14.25" thickBot="1" thickTop="1">
      <c r="A12" s="20" t="s">
        <v>15</v>
      </c>
      <c r="B12" s="26">
        <f>'CNTNR COST'!G10</f>
        <v>0.2014</v>
      </c>
      <c r="C12" s="25">
        <v>0</v>
      </c>
      <c r="D12" s="29">
        <v>0.1039</v>
      </c>
      <c r="E12" s="30">
        <f>ROUND($E$11/2,4)</f>
        <v>0</v>
      </c>
      <c r="F12" s="30">
        <f>ROUND($F$11/2,4)</f>
        <v>0.0053</v>
      </c>
      <c r="G12" s="25">
        <f t="shared" si="2"/>
        <v>0.3106</v>
      </c>
      <c r="H12" s="25">
        <f t="shared" si="3"/>
        <v>0.011265284974093293</v>
      </c>
      <c r="I12" s="25">
        <f t="shared" si="4"/>
        <v>0.3219</v>
      </c>
      <c r="J12" s="25">
        <f>ROUND(J$11/2,4)</f>
        <v>-0.0653</v>
      </c>
      <c r="K12" s="29">
        <f>K11*0.5</f>
        <v>0.12185</v>
      </c>
      <c r="L12" s="134">
        <f t="shared" si="0"/>
        <v>0.3785</v>
      </c>
      <c r="M12" s="29">
        <v>0.4255</v>
      </c>
      <c r="N12" s="29">
        <f t="shared" si="5"/>
        <v>0.3331</v>
      </c>
      <c r="O12" s="29">
        <f>INPUT!E$84</f>
        <v>0</v>
      </c>
      <c r="P12" s="101">
        <f t="shared" si="8"/>
        <v>0.3331</v>
      </c>
      <c r="Q12" s="29">
        <f t="shared" si="6"/>
        <v>0.0092</v>
      </c>
      <c r="R12" s="137">
        <f t="shared" si="7"/>
        <v>0.38</v>
      </c>
      <c r="S12" s="139">
        <f>S11/2</f>
        <v>0.0125</v>
      </c>
      <c r="T12" s="141">
        <v>0.43</v>
      </c>
      <c r="U12" s="103">
        <f t="shared" si="1"/>
        <v>-0.04999999999999999</v>
      </c>
    </row>
    <row r="13" spans="1:21" ht="14.25" thickBot="1" thickTop="1">
      <c r="A13" s="20" t="s">
        <v>162</v>
      </c>
      <c r="B13" s="26">
        <f>'CNTNR COST'!G11</f>
        <v>0.3277</v>
      </c>
      <c r="C13" s="25"/>
      <c r="D13" s="29">
        <v>0.0746</v>
      </c>
      <c r="E13" s="30">
        <f>ROUND($E$11/32*12,4)</f>
        <v>0</v>
      </c>
      <c r="F13" s="30">
        <f>ROUND($F$11/32*12,4)</f>
        <v>0.004</v>
      </c>
      <c r="G13" s="25">
        <f t="shared" si="2"/>
        <v>0.4063</v>
      </c>
      <c r="H13" s="25">
        <f t="shared" si="3"/>
        <v>0.014736269430051852</v>
      </c>
      <c r="I13" s="25">
        <f t="shared" si="4"/>
        <v>0.421</v>
      </c>
      <c r="J13" s="25">
        <f>ROUND(J11/32*12,4)</f>
        <v>-0.0489</v>
      </c>
      <c r="K13" s="25">
        <f>ROUND(K11/32*12,4)</f>
        <v>0.0914</v>
      </c>
      <c r="L13" s="134">
        <f t="shared" si="0"/>
        <v>0.4635</v>
      </c>
      <c r="M13" s="29"/>
      <c r="N13" s="29">
        <f t="shared" si="5"/>
        <v>0.4079</v>
      </c>
      <c r="O13" s="29">
        <f>INPUT!E$85</f>
        <v>0</v>
      </c>
      <c r="P13" s="101">
        <f t="shared" si="8"/>
        <v>0.4079</v>
      </c>
      <c r="Q13" s="29">
        <f t="shared" si="6"/>
        <v>0.0113</v>
      </c>
      <c r="R13" s="137">
        <f t="shared" si="7"/>
        <v>0.47</v>
      </c>
      <c r="S13" s="139"/>
      <c r="T13" s="141"/>
      <c r="U13" s="103"/>
    </row>
    <row r="14" spans="1:21" ht="14.25" thickBot="1" thickTop="1">
      <c r="A14" s="20" t="s">
        <v>64</v>
      </c>
      <c r="B14" s="26">
        <f>'CNTNR COST'!G12</f>
        <v>0.1803</v>
      </c>
      <c r="C14" s="25">
        <v>0</v>
      </c>
      <c r="D14" s="29"/>
      <c r="E14" s="30">
        <f>ROUND($E$11/32*10,4)</f>
        <v>0</v>
      </c>
      <c r="F14" s="30">
        <f>ROUND($F$11/32*10,4)</f>
        <v>0.0033</v>
      </c>
      <c r="G14" s="25">
        <f t="shared" si="2"/>
        <v>0.1836</v>
      </c>
      <c r="H14" s="25">
        <f t="shared" si="3"/>
        <v>0.006659067357512954</v>
      </c>
      <c r="I14" s="25">
        <f t="shared" si="4"/>
        <v>0.1903</v>
      </c>
      <c r="J14" s="25">
        <f>ROUND(J$11/3,4)</f>
        <v>-0.0435</v>
      </c>
      <c r="K14" s="29">
        <f>K11/3</f>
        <v>0.08123333333333334</v>
      </c>
      <c r="L14" s="134">
        <f t="shared" si="0"/>
        <v>0.228</v>
      </c>
      <c r="M14" s="29">
        <v>0.2935</v>
      </c>
      <c r="N14" s="29">
        <f t="shared" si="5"/>
        <v>0.2006</v>
      </c>
      <c r="O14" s="29">
        <f>INPUT!E$86</f>
        <v>0</v>
      </c>
      <c r="P14" s="101">
        <f t="shared" si="8"/>
        <v>0.2006</v>
      </c>
      <c r="Q14" s="29">
        <f t="shared" si="6"/>
        <v>0.0056</v>
      </c>
      <c r="R14" s="137">
        <f t="shared" si="7"/>
        <v>0.23</v>
      </c>
      <c r="S14" s="139">
        <f>S11/32*10</f>
        <v>0.0078125</v>
      </c>
      <c r="T14" s="141">
        <v>0.3</v>
      </c>
      <c r="U14" s="103">
        <f t="shared" si="1"/>
        <v>-0.06999999999999998</v>
      </c>
    </row>
    <row r="15" spans="1:21" ht="14.25" thickBot="1" thickTop="1">
      <c r="A15" s="20" t="s">
        <v>65</v>
      </c>
      <c r="B15" s="26">
        <f>'CNTNR COST'!G13</f>
        <v>0.1008</v>
      </c>
      <c r="C15" s="25">
        <v>0</v>
      </c>
      <c r="D15" s="29">
        <v>0.0231</v>
      </c>
      <c r="E15" s="30">
        <f>ROUND($E$11/4,4)</f>
        <v>0</v>
      </c>
      <c r="F15" s="30">
        <f>ROUND($F$11/4,4)</f>
        <v>0.0027</v>
      </c>
      <c r="G15" s="25">
        <f t="shared" si="2"/>
        <v>0.1266</v>
      </c>
      <c r="H15" s="25">
        <f t="shared" si="3"/>
        <v>0.004591709844559588</v>
      </c>
      <c r="I15" s="25">
        <f t="shared" si="4"/>
        <v>0.1312</v>
      </c>
      <c r="J15" s="25">
        <f>ROUND(J$11/4,4)</f>
        <v>-0.0326</v>
      </c>
      <c r="K15" s="29">
        <f>K11*0.25</f>
        <v>0.060925</v>
      </c>
      <c r="L15" s="134">
        <f t="shared" si="0"/>
        <v>0.1595</v>
      </c>
      <c r="M15" s="29">
        <v>0.2229</v>
      </c>
      <c r="N15" s="29">
        <f t="shared" si="5"/>
        <v>0.1404</v>
      </c>
      <c r="O15" s="29">
        <f>INPUT!E$87</f>
        <v>0</v>
      </c>
      <c r="P15" s="101">
        <f t="shared" si="8"/>
        <v>0.1404</v>
      </c>
      <c r="Q15" s="29">
        <f t="shared" si="6"/>
        <v>0.0039</v>
      </c>
      <c r="R15" s="137">
        <f t="shared" si="7"/>
        <v>0.16</v>
      </c>
      <c r="S15" s="139">
        <f>S12/2</f>
        <v>0.00625</v>
      </c>
      <c r="T15" s="141">
        <v>0.23</v>
      </c>
      <c r="U15" s="103">
        <f t="shared" si="1"/>
        <v>-0.07</v>
      </c>
    </row>
    <row r="16" spans="1:21" ht="14.25" thickBot="1" thickTop="1">
      <c r="A16" s="20" t="s">
        <v>66</v>
      </c>
      <c r="B16" s="26">
        <f>'CNTNR COST'!G14</f>
        <v>0.0863</v>
      </c>
      <c r="C16" s="25">
        <v>0</v>
      </c>
      <c r="D16" s="29">
        <v>0.0363</v>
      </c>
      <c r="E16" s="30">
        <f>ROUND($E$11/8,4)</f>
        <v>0</v>
      </c>
      <c r="F16" s="30">
        <f>ROUND($F$11/8,4)</f>
        <v>0.0013</v>
      </c>
      <c r="G16" s="25">
        <f t="shared" si="2"/>
        <v>0.1239</v>
      </c>
      <c r="H16" s="25">
        <f t="shared" si="3"/>
        <v>0.0044937823834197005</v>
      </c>
      <c r="I16" s="25">
        <f t="shared" si="4"/>
        <v>0.1284</v>
      </c>
      <c r="J16" s="25">
        <f>ROUND(J$11/8,4)</f>
        <v>-0.0163</v>
      </c>
      <c r="K16" s="29">
        <f>K11/8</f>
        <v>0.0304625</v>
      </c>
      <c r="L16" s="134">
        <f t="shared" si="0"/>
        <v>0.1426</v>
      </c>
      <c r="M16" s="29">
        <v>0.1289</v>
      </c>
      <c r="N16" s="29">
        <f t="shared" si="5"/>
        <v>0.1255</v>
      </c>
      <c r="O16" s="29">
        <f>INPUT!E$88</f>
        <v>0</v>
      </c>
      <c r="P16" s="101">
        <f t="shared" si="8"/>
        <v>0.1255</v>
      </c>
      <c r="Q16" s="29">
        <f t="shared" si="6"/>
        <v>0.0035</v>
      </c>
      <c r="R16" s="137">
        <f t="shared" si="7"/>
        <v>0.15</v>
      </c>
      <c r="S16" s="139">
        <f>S15/2</f>
        <v>0.003125</v>
      </c>
      <c r="T16" s="141">
        <v>0.13</v>
      </c>
      <c r="U16" s="103">
        <f t="shared" si="1"/>
        <v>0.01999999999999999</v>
      </c>
    </row>
    <row r="17" spans="1:21" ht="14.25" thickBot="1" thickTop="1">
      <c r="A17" s="20" t="s">
        <v>94</v>
      </c>
      <c r="B17" s="35">
        <f>'CNTNR COST'!G15</f>
        <v>0.5068</v>
      </c>
      <c r="C17" s="36">
        <v>0</v>
      </c>
      <c r="D17" s="41">
        <v>0.1316</v>
      </c>
      <c r="E17" s="39">
        <f>ROUND($E$11,4)</f>
        <v>0</v>
      </c>
      <c r="F17" s="39">
        <f>ROUND($F$11,4)</f>
        <v>0.0106</v>
      </c>
      <c r="G17" s="36">
        <f t="shared" si="2"/>
        <v>0.649</v>
      </c>
      <c r="H17" s="36">
        <f t="shared" si="3"/>
        <v>0.023538860103626935</v>
      </c>
      <c r="I17" s="36">
        <f t="shared" si="4"/>
        <v>0.6725</v>
      </c>
      <c r="J17" s="36">
        <f>J$11</f>
        <v>-0.1305</v>
      </c>
      <c r="K17" s="41">
        <f>K11</f>
        <v>0.2437</v>
      </c>
      <c r="L17" s="135">
        <f t="shared" si="0"/>
        <v>0.7857</v>
      </c>
      <c r="M17" s="41">
        <v>0.7735</v>
      </c>
      <c r="N17" s="41">
        <f t="shared" si="5"/>
        <v>0.6914</v>
      </c>
      <c r="O17" s="41">
        <f>INPUT!E$89</f>
        <v>0</v>
      </c>
      <c r="P17" s="41">
        <f t="shared" si="8"/>
        <v>0.6914</v>
      </c>
      <c r="Q17" s="41">
        <f t="shared" si="6"/>
        <v>0.0192</v>
      </c>
      <c r="R17" s="138">
        <f>IF(ROUND(Q17+P17,2)&gt;L17,ROUND(Q17+P17,2),ROUND(L17+0.005,2))</f>
        <v>0.79</v>
      </c>
      <c r="S17" s="139">
        <f>+S11</f>
        <v>0.025</v>
      </c>
      <c r="T17" s="142">
        <v>0.8</v>
      </c>
      <c r="U17" s="104">
        <f t="shared" si="1"/>
        <v>-0.010000000000000009</v>
      </c>
    </row>
    <row r="18" spans="1:20" ht="14.25" thickBot="1" thickTop="1">
      <c r="A18" s="20" t="s">
        <v>47</v>
      </c>
      <c r="L18" s="42"/>
      <c r="M18" s="42"/>
      <c r="N18" s="42"/>
      <c r="O18" s="42"/>
      <c r="P18" s="42"/>
      <c r="Q18" s="42"/>
      <c r="R18" s="139"/>
      <c r="S18" s="139"/>
      <c r="T18" s="139"/>
    </row>
    <row r="19" spans="1:21" ht="14.25" thickBot="1" thickTop="1">
      <c r="A19" s="20" t="s">
        <v>12</v>
      </c>
      <c r="B19" s="34">
        <f>'CNTNR COST'!G17</f>
        <v>1.6125</v>
      </c>
      <c r="C19" s="24">
        <v>0</v>
      </c>
      <c r="D19" s="24">
        <f>+$D$9</f>
        <v>-0.1217</v>
      </c>
      <c r="E19" s="38">
        <f>ROUND($E$11*4,4)</f>
        <v>0</v>
      </c>
      <c r="F19" s="38">
        <f>ROUND($F$11*4,4)</f>
        <v>0.0424</v>
      </c>
      <c r="G19" s="24">
        <f>ROUND(SUM(B19:F19),4)</f>
        <v>1.5332</v>
      </c>
      <c r="H19" s="24">
        <f>(G19/(1-$H$5))-G19</f>
        <v>0.05560829015544044</v>
      </c>
      <c r="I19" s="24">
        <f>ROUND(G19+H19,4)</f>
        <v>1.5888</v>
      </c>
      <c r="J19" s="24">
        <f>ROUND(J$11*4,4)</f>
        <v>-0.522</v>
      </c>
      <c r="K19" s="24">
        <f>ROUND(K$11*4,4)</f>
        <v>0.9748</v>
      </c>
      <c r="L19" s="133">
        <f aca="true" t="shared" si="9" ref="L19:L27">ROUND(SUM(I19:K19),4)</f>
        <v>2.0416</v>
      </c>
      <c r="M19" s="40">
        <v>2.632</v>
      </c>
      <c r="N19" s="40">
        <f>ROUND(L19-(L19*WHSLE_DISCNT),4)</f>
        <v>1.7966</v>
      </c>
      <c r="O19" s="40">
        <f>INPUT!E$81</f>
        <v>0</v>
      </c>
      <c r="P19" s="100">
        <f>N19+O19</f>
        <v>1.7966</v>
      </c>
      <c r="Q19" s="40">
        <f>ROUND(P19/(1-RETAIL_PRFT)-P19,4)</f>
        <v>0.0499</v>
      </c>
      <c r="R19" s="136">
        <f>IF(ROUND(Q19+P19,2)&gt;L19,ROUND(Q19+P19,2),ROUND(L19+0.005,2))</f>
        <v>2.05</v>
      </c>
      <c r="S19" s="139"/>
      <c r="T19" s="140">
        <v>2.77</v>
      </c>
      <c r="U19" s="102">
        <f aca="true" t="shared" si="10" ref="U19:U27">R19-T19</f>
        <v>-0.7200000000000002</v>
      </c>
    </row>
    <row r="20" spans="1:21" ht="14.25" thickBot="1" thickTop="1">
      <c r="A20" s="20" t="s">
        <v>63</v>
      </c>
      <c r="B20" s="26">
        <f>'CNTNR COST'!G18</f>
        <v>0.8063</v>
      </c>
      <c r="C20" s="25">
        <v>0</v>
      </c>
      <c r="D20" s="25">
        <f>+$D$10</f>
        <v>-0.0867</v>
      </c>
      <c r="E20" s="30">
        <f>ROUND($E$11*2,4)</f>
        <v>0</v>
      </c>
      <c r="F20" s="30">
        <f>ROUND($F$11*2,4)</f>
        <v>0.0212</v>
      </c>
      <c r="G20" s="25">
        <f aca="true" t="shared" si="11" ref="G20:G27">ROUND(SUM(B20:F20),4)</f>
        <v>0.7408</v>
      </c>
      <c r="H20" s="25">
        <f aca="true" t="shared" si="12" ref="H20:H27">(G20/(1-$H$5))-G20</f>
        <v>0.026868393782383482</v>
      </c>
      <c r="I20" s="25">
        <f aca="true" t="shared" si="13" ref="I20:I27">ROUND(G20+H20,4)</f>
        <v>0.7677</v>
      </c>
      <c r="J20" s="25">
        <f>ROUND(J$11*2,4)</f>
        <v>-0.261</v>
      </c>
      <c r="K20" s="25">
        <f>ROUND(K$11*2,4)</f>
        <v>0.4874</v>
      </c>
      <c r="L20" s="134">
        <f t="shared" si="9"/>
        <v>0.9941</v>
      </c>
      <c r="M20" s="29">
        <v>1.3613</v>
      </c>
      <c r="N20" s="29">
        <f aca="true" t="shared" si="14" ref="N20:N27">ROUND(L20-(L20*WHSLE_DISCNT),4)</f>
        <v>0.8748</v>
      </c>
      <c r="O20" s="29">
        <f>INPUT!E$82</f>
        <v>0</v>
      </c>
      <c r="P20" s="101">
        <f>O20+N20</f>
        <v>0.8748</v>
      </c>
      <c r="Q20" s="29">
        <f aca="true" t="shared" si="15" ref="Q20:Q27">ROUND(P20/(1-RETAIL_PRFT)-P20,4)</f>
        <v>0.0243</v>
      </c>
      <c r="R20" s="137">
        <f aca="true" t="shared" si="16" ref="R20:R26">IF(ROUND(Q20+P20,2)&gt;L20,ROUND(Q20+P20,2),ROUND(L20+0.005,2))</f>
        <v>1</v>
      </c>
      <c r="S20" s="139"/>
      <c r="T20" s="141">
        <v>1.43</v>
      </c>
      <c r="U20" s="103">
        <f t="shared" si="10"/>
        <v>-0.42999999999999994</v>
      </c>
    </row>
    <row r="21" spans="1:21" ht="14.25" thickBot="1" thickTop="1">
      <c r="A21" s="20" t="s">
        <v>14</v>
      </c>
      <c r="B21" s="26">
        <f>'CNTNR COST'!G19</f>
        <v>0.4031</v>
      </c>
      <c r="C21" s="25">
        <v>0</v>
      </c>
      <c r="D21" s="25">
        <f>+$D$11</f>
        <v>0.1131</v>
      </c>
      <c r="E21" s="30">
        <f>ENERGY_ADDON</f>
        <v>0</v>
      </c>
      <c r="F21" s="30">
        <f>ROUND(COST_UPDATE_ADJ,4)</f>
        <v>0.0106</v>
      </c>
      <c r="G21" s="25">
        <f t="shared" si="11"/>
        <v>0.5268</v>
      </c>
      <c r="H21" s="25">
        <f t="shared" si="12"/>
        <v>0.0191067357512954</v>
      </c>
      <c r="I21" s="25">
        <f t="shared" si="13"/>
        <v>0.5459</v>
      </c>
      <c r="J21" s="25">
        <f>$J$11</f>
        <v>-0.1305</v>
      </c>
      <c r="K21" s="25">
        <f>$K$11</f>
        <v>0.2437</v>
      </c>
      <c r="L21" s="134">
        <f t="shared" si="9"/>
        <v>0.6591</v>
      </c>
      <c r="M21" s="29">
        <v>0.7268</v>
      </c>
      <c r="N21" s="29">
        <f t="shared" si="14"/>
        <v>0.58</v>
      </c>
      <c r="O21" s="29">
        <f>INPUT!E$83</f>
        <v>0</v>
      </c>
      <c r="P21" s="101">
        <f aca="true" t="shared" si="17" ref="P21:P27">O21+N21</f>
        <v>0.58</v>
      </c>
      <c r="Q21" s="29">
        <f t="shared" si="15"/>
        <v>0.0161</v>
      </c>
      <c r="R21" s="137">
        <f t="shared" si="16"/>
        <v>0.66</v>
      </c>
      <c r="S21" s="139"/>
      <c r="T21" s="141">
        <v>0.75</v>
      </c>
      <c r="U21" s="103">
        <f t="shared" si="10"/>
        <v>-0.08999999999999997</v>
      </c>
    </row>
    <row r="22" spans="1:21" ht="14.25" thickBot="1" thickTop="1">
      <c r="A22" s="20" t="s">
        <v>15</v>
      </c>
      <c r="B22" s="26">
        <f>'CNTNR COST'!G20</f>
        <v>0.2016</v>
      </c>
      <c r="C22" s="25">
        <v>0</v>
      </c>
      <c r="D22" s="25">
        <f>+$D$12</f>
        <v>0.1039</v>
      </c>
      <c r="E22" s="30">
        <f>ROUND($E$11/2,4)</f>
        <v>0</v>
      </c>
      <c r="F22" s="30">
        <f>ROUND($F$11/2,4)</f>
        <v>0.0053</v>
      </c>
      <c r="G22" s="25">
        <f t="shared" si="11"/>
        <v>0.3108</v>
      </c>
      <c r="H22" s="25">
        <f t="shared" si="12"/>
        <v>0.011272538860103654</v>
      </c>
      <c r="I22" s="25">
        <f t="shared" si="13"/>
        <v>0.3221</v>
      </c>
      <c r="J22" s="25">
        <f>ROUND(J$11/2,4)</f>
        <v>-0.0653</v>
      </c>
      <c r="K22" s="25">
        <f>ROUND(K$11/2,4)</f>
        <v>0.1219</v>
      </c>
      <c r="L22" s="134">
        <f t="shared" si="9"/>
        <v>0.3787</v>
      </c>
      <c r="M22" s="29">
        <v>0.3953</v>
      </c>
      <c r="N22" s="29">
        <f t="shared" si="14"/>
        <v>0.3333</v>
      </c>
      <c r="O22" s="29">
        <f>INPUT!E$84</f>
        <v>0</v>
      </c>
      <c r="P22" s="101">
        <f t="shared" si="17"/>
        <v>0.3333</v>
      </c>
      <c r="Q22" s="29">
        <f t="shared" si="15"/>
        <v>0.0092</v>
      </c>
      <c r="R22" s="137">
        <f t="shared" si="16"/>
        <v>0.38</v>
      </c>
      <c r="S22" s="139"/>
      <c r="T22" s="141">
        <v>0.41</v>
      </c>
      <c r="U22" s="103">
        <f t="shared" si="10"/>
        <v>-0.02999999999999997</v>
      </c>
    </row>
    <row r="23" spans="1:21" ht="14.25" thickBot="1" thickTop="1">
      <c r="A23" s="20" t="s">
        <v>162</v>
      </c>
      <c r="B23" s="26">
        <f>'CNTNR COST'!G21</f>
        <v>0.3277</v>
      </c>
      <c r="C23" s="25"/>
      <c r="D23" s="29">
        <f>+$D$13</f>
        <v>0.0746</v>
      </c>
      <c r="E23" s="30">
        <f>ROUND($E$11/32*12,4)</f>
        <v>0</v>
      </c>
      <c r="F23" s="30">
        <f>ROUND($F$11/32*12,4)</f>
        <v>0.004</v>
      </c>
      <c r="G23" s="25">
        <f t="shared" si="11"/>
        <v>0.4063</v>
      </c>
      <c r="H23" s="25">
        <f t="shared" si="12"/>
        <v>0.014736269430051852</v>
      </c>
      <c r="I23" s="25">
        <f t="shared" si="13"/>
        <v>0.421</v>
      </c>
      <c r="J23" s="25">
        <f>ROUND(J21/32*12,4)</f>
        <v>-0.0489</v>
      </c>
      <c r="K23" s="25">
        <f>ROUND(K21/32*12,4)</f>
        <v>0.0914</v>
      </c>
      <c r="L23" s="134">
        <f t="shared" si="9"/>
        <v>0.4635</v>
      </c>
      <c r="M23" s="29"/>
      <c r="N23" s="29">
        <f t="shared" si="14"/>
        <v>0.4079</v>
      </c>
      <c r="O23" s="29">
        <f>INPUT!E$85</f>
        <v>0</v>
      </c>
      <c r="P23" s="101">
        <f t="shared" si="17"/>
        <v>0.4079</v>
      </c>
      <c r="Q23" s="29">
        <f t="shared" si="15"/>
        <v>0.0113</v>
      </c>
      <c r="R23" s="137">
        <f t="shared" si="16"/>
        <v>0.47</v>
      </c>
      <c r="S23" s="139"/>
      <c r="T23" s="141"/>
      <c r="U23" s="103"/>
    </row>
    <row r="24" spans="1:21" ht="14.25" thickBot="1" thickTop="1">
      <c r="A24" s="20" t="s">
        <v>64</v>
      </c>
      <c r="B24" s="26">
        <f>'CNTNR COST'!G22</f>
        <v>0.1804</v>
      </c>
      <c r="C24" s="25">
        <v>0</v>
      </c>
      <c r="D24" s="25">
        <f>+$D$14</f>
        <v>0</v>
      </c>
      <c r="E24" s="30">
        <f>ROUND($E$11/32*10,4)</f>
        <v>0</v>
      </c>
      <c r="F24" s="30">
        <f>ROUND($F$11/32*10,4)</f>
        <v>0.0033</v>
      </c>
      <c r="G24" s="25">
        <f t="shared" si="11"/>
        <v>0.1837</v>
      </c>
      <c r="H24" s="25">
        <f t="shared" si="12"/>
        <v>0.006662694300518135</v>
      </c>
      <c r="I24" s="25">
        <f t="shared" si="13"/>
        <v>0.1904</v>
      </c>
      <c r="J24" s="25">
        <f>ROUND(J$11/3,4)</f>
        <v>-0.0435</v>
      </c>
      <c r="K24" s="25">
        <f>ROUND(K$11/3,4)</f>
        <v>0.0812</v>
      </c>
      <c r="L24" s="134">
        <f t="shared" si="9"/>
        <v>0.2281</v>
      </c>
      <c r="M24" s="29">
        <v>0.2747</v>
      </c>
      <c r="N24" s="29">
        <f t="shared" si="14"/>
        <v>0.2007</v>
      </c>
      <c r="O24" s="29">
        <f>INPUT!E$86</f>
        <v>0</v>
      </c>
      <c r="P24" s="101">
        <f t="shared" si="17"/>
        <v>0.2007</v>
      </c>
      <c r="Q24" s="29">
        <f t="shared" si="15"/>
        <v>0.0056</v>
      </c>
      <c r="R24" s="137">
        <f t="shared" si="16"/>
        <v>0.23</v>
      </c>
      <c r="S24" s="139"/>
      <c r="T24" s="141">
        <v>0.28</v>
      </c>
      <c r="U24" s="103">
        <f t="shared" si="10"/>
        <v>-0.05000000000000002</v>
      </c>
    </row>
    <row r="25" spans="1:21" ht="14.25" thickBot="1" thickTop="1">
      <c r="A25" s="20" t="s">
        <v>65</v>
      </c>
      <c r="B25" s="26">
        <f>'CNTNR COST'!G23</f>
        <v>0.1008</v>
      </c>
      <c r="C25" s="25">
        <v>0</v>
      </c>
      <c r="D25" s="25">
        <f>+$D$15</f>
        <v>0.0231</v>
      </c>
      <c r="E25" s="30">
        <f>ROUND($E$11/4,4)</f>
        <v>0</v>
      </c>
      <c r="F25" s="30">
        <f>ROUND($F$11/4,4)</f>
        <v>0.0027</v>
      </c>
      <c r="G25" s="25">
        <f t="shared" si="11"/>
        <v>0.1266</v>
      </c>
      <c r="H25" s="25">
        <f t="shared" si="12"/>
        <v>0.004591709844559588</v>
      </c>
      <c r="I25" s="25">
        <f t="shared" si="13"/>
        <v>0.1312</v>
      </c>
      <c r="J25" s="25">
        <f>ROUND(J$11/4,4)</f>
        <v>-0.0326</v>
      </c>
      <c r="K25" s="25">
        <f>ROUND(K$11/4,4)</f>
        <v>0.0609</v>
      </c>
      <c r="L25" s="134">
        <f t="shared" si="9"/>
        <v>0.1595</v>
      </c>
      <c r="M25" s="29">
        <v>0.2078</v>
      </c>
      <c r="N25" s="29">
        <f t="shared" si="14"/>
        <v>0.1404</v>
      </c>
      <c r="O25" s="29">
        <f>INPUT!E$87</f>
        <v>0</v>
      </c>
      <c r="P25" s="101">
        <f t="shared" si="17"/>
        <v>0.1404</v>
      </c>
      <c r="Q25" s="29">
        <f t="shared" si="15"/>
        <v>0.0039</v>
      </c>
      <c r="R25" s="137">
        <f t="shared" si="16"/>
        <v>0.16</v>
      </c>
      <c r="S25" s="139"/>
      <c r="T25" s="141">
        <v>0.21</v>
      </c>
      <c r="U25" s="103">
        <f t="shared" si="10"/>
        <v>-0.04999999999999999</v>
      </c>
    </row>
    <row r="26" spans="1:21" ht="14.25" thickBot="1" thickTop="1">
      <c r="A26" s="20" t="s">
        <v>66</v>
      </c>
      <c r="B26" s="26">
        <f>'CNTNR COST'!G24</f>
        <v>0.0863</v>
      </c>
      <c r="C26" s="25">
        <v>0</v>
      </c>
      <c r="D26" s="25">
        <f>+$D$16</f>
        <v>0.0363</v>
      </c>
      <c r="E26" s="30">
        <f>ROUND($E$11/8,4)</f>
        <v>0</v>
      </c>
      <c r="F26" s="30">
        <f>ROUND($F$11/8,4)</f>
        <v>0.0013</v>
      </c>
      <c r="G26" s="25">
        <f t="shared" si="11"/>
        <v>0.1239</v>
      </c>
      <c r="H26" s="25">
        <f t="shared" si="12"/>
        <v>0.0044937823834197005</v>
      </c>
      <c r="I26" s="25">
        <f t="shared" si="13"/>
        <v>0.1284</v>
      </c>
      <c r="J26" s="25">
        <f>ROUND(J$11/8,4)</f>
        <v>-0.0163</v>
      </c>
      <c r="K26" s="25">
        <f>ROUND(K$11/8,4)</f>
        <v>0.0305</v>
      </c>
      <c r="L26" s="134">
        <f t="shared" si="9"/>
        <v>0.1426</v>
      </c>
      <c r="M26" s="29">
        <v>0.1214</v>
      </c>
      <c r="N26" s="29">
        <f t="shared" si="14"/>
        <v>0.1255</v>
      </c>
      <c r="O26" s="29">
        <f>INPUT!E$88</f>
        <v>0</v>
      </c>
      <c r="P26" s="101">
        <f t="shared" si="17"/>
        <v>0.1255</v>
      </c>
      <c r="Q26" s="29">
        <f t="shared" si="15"/>
        <v>0.0035</v>
      </c>
      <c r="R26" s="137">
        <f t="shared" si="16"/>
        <v>0.15</v>
      </c>
      <c r="S26" s="139"/>
      <c r="T26" s="141">
        <v>0.13</v>
      </c>
      <c r="U26" s="103">
        <f t="shared" si="10"/>
        <v>0.01999999999999999</v>
      </c>
    </row>
    <row r="27" spans="1:21" ht="14.25" thickBot="1" thickTop="1">
      <c r="A27" s="20" t="s">
        <v>94</v>
      </c>
      <c r="B27" s="35">
        <f>'CNTNR COST'!G25</f>
        <v>0.507</v>
      </c>
      <c r="C27" s="36">
        <v>0</v>
      </c>
      <c r="D27" s="36">
        <f>+$D$17</f>
        <v>0.1316</v>
      </c>
      <c r="E27" s="39">
        <f>ROUND($E$11,4)</f>
        <v>0</v>
      </c>
      <c r="F27" s="39">
        <f>ROUND($F$11,4)</f>
        <v>0.0106</v>
      </c>
      <c r="G27" s="36">
        <f t="shared" si="11"/>
        <v>0.6492</v>
      </c>
      <c r="H27" s="36">
        <f t="shared" si="12"/>
        <v>0.02354611398963735</v>
      </c>
      <c r="I27" s="36">
        <f t="shared" si="13"/>
        <v>0.6727</v>
      </c>
      <c r="J27" s="36">
        <f>J$11</f>
        <v>-0.1305</v>
      </c>
      <c r="K27" s="36">
        <f>K$11</f>
        <v>0.2437</v>
      </c>
      <c r="L27" s="135">
        <f t="shared" si="9"/>
        <v>0.7859</v>
      </c>
      <c r="M27" s="41">
        <v>0.7133</v>
      </c>
      <c r="N27" s="41">
        <f t="shared" si="14"/>
        <v>0.6916</v>
      </c>
      <c r="O27" s="41">
        <f>INPUT!E$89</f>
        <v>0</v>
      </c>
      <c r="P27" s="41">
        <f t="shared" si="17"/>
        <v>0.6916</v>
      </c>
      <c r="Q27" s="41">
        <f t="shared" si="15"/>
        <v>0.0192</v>
      </c>
      <c r="R27" s="138">
        <f>IF(ROUND(Q27+P27,2)&gt;L27,ROUND(Q27+P27,2),ROUND(L27+0.005,2))</f>
        <v>0.79</v>
      </c>
      <c r="S27" s="139"/>
      <c r="T27" s="142">
        <v>0.74</v>
      </c>
      <c r="U27" s="104">
        <f t="shared" si="10"/>
        <v>0.050000000000000044</v>
      </c>
    </row>
    <row r="28" spans="1:20" ht="14.25" thickBot="1" thickTop="1">
      <c r="A28" s="20" t="s">
        <v>48</v>
      </c>
      <c r="L28" s="42"/>
      <c r="M28" s="42"/>
      <c r="N28" s="42"/>
      <c r="O28" s="42"/>
      <c r="P28" s="42"/>
      <c r="Q28" s="42"/>
      <c r="R28" s="139"/>
      <c r="S28" s="139"/>
      <c r="T28" s="139"/>
    </row>
    <row r="29" spans="1:21" ht="14.25" thickBot="1" thickTop="1">
      <c r="A29" s="20" t="s">
        <v>12</v>
      </c>
      <c r="B29" s="34">
        <f>'CNTNR COST'!G27</f>
        <v>1.6125</v>
      </c>
      <c r="C29" s="24">
        <v>0</v>
      </c>
      <c r="D29" s="24">
        <f>+$D$9</f>
        <v>-0.1217</v>
      </c>
      <c r="E29" s="38">
        <f>ROUND($E$11*4,4)</f>
        <v>0</v>
      </c>
      <c r="F29" s="38">
        <f>ROUND($F$11*4,4)</f>
        <v>0.0424</v>
      </c>
      <c r="G29" s="24">
        <f>ROUND(SUM(B29:F29),4)</f>
        <v>1.5332</v>
      </c>
      <c r="H29" s="24">
        <f>(G29/(1-$H$5))-G29</f>
        <v>0.05560829015544044</v>
      </c>
      <c r="I29" s="24">
        <f>ROUND(G29+H29,4)</f>
        <v>1.5888</v>
      </c>
      <c r="J29" s="24">
        <f>ROUND(J$11*4,4)</f>
        <v>-0.522</v>
      </c>
      <c r="K29" s="24">
        <f>ROUND(K$11*4,4)</f>
        <v>0.9748</v>
      </c>
      <c r="L29" s="133">
        <f aca="true" t="shared" si="18" ref="L29:L37">ROUND(SUM(I29:K29),4)</f>
        <v>2.0416</v>
      </c>
      <c r="M29" s="40">
        <v>2.4405</v>
      </c>
      <c r="N29" s="40">
        <f>ROUND(L29-(L29*WHSLE_DISCNT),4)</f>
        <v>1.7966</v>
      </c>
      <c r="O29" s="40">
        <f>INPUT!E$81</f>
        <v>0</v>
      </c>
      <c r="P29" s="100">
        <f>N29+O29</f>
        <v>1.7966</v>
      </c>
      <c r="Q29" s="40">
        <f>ROUND(P29/(1-RETAIL_PRFT)-P29,4)</f>
        <v>0.0499</v>
      </c>
      <c r="R29" s="136">
        <f>IF(ROUND(Q29+P29,2)&gt;L29,ROUND(Q29+P29,2),ROUND(L29+0.005,2))</f>
        <v>2.05</v>
      </c>
      <c r="S29" s="139"/>
      <c r="T29" s="140">
        <v>2.6</v>
      </c>
      <c r="U29" s="102">
        <f aca="true" t="shared" si="19" ref="U29:U37">R29-T29</f>
        <v>-0.5500000000000003</v>
      </c>
    </row>
    <row r="30" spans="1:21" ht="14.25" thickBot="1" thickTop="1">
      <c r="A30" s="20" t="s">
        <v>63</v>
      </c>
      <c r="B30" s="26">
        <f>'CNTNR COST'!G28</f>
        <v>0.8063</v>
      </c>
      <c r="C30" s="25">
        <v>0</v>
      </c>
      <c r="D30" s="25">
        <f>+$D$10</f>
        <v>-0.0867</v>
      </c>
      <c r="E30" s="30">
        <f>ROUND($E$11*2,4)</f>
        <v>0</v>
      </c>
      <c r="F30" s="30">
        <f>ROUND($F$11*2,4)</f>
        <v>0.0212</v>
      </c>
      <c r="G30" s="25">
        <f aca="true" t="shared" si="20" ref="G30:G37">ROUND(SUM(B30:F30),4)</f>
        <v>0.7408</v>
      </c>
      <c r="H30" s="25">
        <f aca="true" t="shared" si="21" ref="H30:H37">(G30/(1-$H$5))-G30</f>
        <v>0.026868393782383482</v>
      </c>
      <c r="I30" s="25">
        <f aca="true" t="shared" si="22" ref="I30:I37">ROUND(G30+H30,4)</f>
        <v>0.7677</v>
      </c>
      <c r="J30" s="25">
        <f>ROUND(J$11*2,4)</f>
        <v>-0.261</v>
      </c>
      <c r="K30" s="25">
        <f>ROUND(K$11*2,4)</f>
        <v>0.4874</v>
      </c>
      <c r="L30" s="134">
        <f t="shared" si="18"/>
        <v>0.9941</v>
      </c>
      <c r="M30" s="29">
        <v>1.2655</v>
      </c>
      <c r="N30" s="29">
        <f aca="true" t="shared" si="23" ref="N30:N37">ROUND(L30-(L30*WHSLE_DISCNT),4)</f>
        <v>0.8748</v>
      </c>
      <c r="O30" s="29">
        <f>INPUT!E$82</f>
        <v>0</v>
      </c>
      <c r="P30" s="101">
        <f>O30+N30</f>
        <v>0.8748</v>
      </c>
      <c r="Q30" s="29">
        <f aca="true" t="shared" si="24" ref="Q30:Q37">ROUND(P30/(1-RETAIL_PRFT)-P30,4)</f>
        <v>0.0243</v>
      </c>
      <c r="R30" s="137">
        <f aca="true" t="shared" si="25" ref="R30:R36">IF(ROUND(Q30+P30,2)&gt;L30,ROUND(Q30+P30,2),ROUND(L30+0.005,2))</f>
        <v>1</v>
      </c>
      <c r="S30" s="139"/>
      <c r="T30" s="141">
        <v>1.34</v>
      </c>
      <c r="U30" s="103">
        <f t="shared" si="19"/>
        <v>-0.3400000000000001</v>
      </c>
    </row>
    <row r="31" spans="1:21" ht="14.25" thickBot="1" thickTop="1">
      <c r="A31" s="20" t="s">
        <v>14</v>
      </c>
      <c r="B31" s="26">
        <f>'CNTNR COST'!G29</f>
        <v>0.4031</v>
      </c>
      <c r="C31" s="25">
        <v>0</v>
      </c>
      <c r="D31" s="25">
        <f>+$D$11</f>
        <v>0.1131</v>
      </c>
      <c r="E31" s="30">
        <f>ENERGY_ADDON</f>
        <v>0</v>
      </c>
      <c r="F31" s="30">
        <f>ROUND(COST_UPDATE_ADJ,4)</f>
        <v>0.0106</v>
      </c>
      <c r="G31" s="25">
        <f t="shared" si="20"/>
        <v>0.5268</v>
      </c>
      <c r="H31" s="25">
        <f t="shared" si="21"/>
        <v>0.0191067357512954</v>
      </c>
      <c r="I31" s="25">
        <f t="shared" si="22"/>
        <v>0.5459</v>
      </c>
      <c r="J31" s="25">
        <f>$J$11</f>
        <v>-0.1305</v>
      </c>
      <c r="K31" s="25">
        <f>$K$11</f>
        <v>0.2437</v>
      </c>
      <c r="L31" s="134">
        <f t="shared" si="18"/>
        <v>0.6591</v>
      </c>
      <c r="M31" s="29">
        <v>0.679</v>
      </c>
      <c r="N31" s="29">
        <f t="shared" si="23"/>
        <v>0.58</v>
      </c>
      <c r="O31" s="29">
        <f>INPUT!E$83</f>
        <v>0</v>
      </c>
      <c r="P31" s="101">
        <f aca="true" t="shared" si="26" ref="P31:P37">O31+N31</f>
        <v>0.58</v>
      </c>
      <c r="Q31" s="29">
        <f t="shared" si="24"/>
        <v>0.0161</v>
      </c>
      <c r="R31" s="137">
        <f t="shared" si="25"/>
        <v>0.66</v>
      </c>
      <c r="S31" s="139"/>
      <c r="T31" s="141">
        <v>0.71</v>
      </c>
      <c r="U31" s="103">
        <f t="shared" si="19"/>
        <v>-0.04999999999999993</v>
      </c>
    </row>
    <row r="32" spans="1:21" ht="14.25" thickBot="1" thickTop="1">
      <c r="A32" s="20" t="s">
        <v>15</v>
      </c>
      <c r="B32" s="26">
        <f>'CNTNR COST'!G30</f>
        <v>0.2016</v>
      </c>
      <c r="C32" s="25">
        <v>0</v>
      </c>
      <c r="D32" s="25">
        <f>+$D$12</f>
        <v>0.1039</v>
      </c>
      <c r="E32" s="30">
        <f>ROUND($E$11/2,4)</f>
        <v>0</v>
      </c>
      <c r="F32" s="30">
        <f>ROUND($F$11/2,4)</f>
        <v>0.0053</v>
      </c>
      <c r="G32" s="25">
        <f t="shared" si="20"/>
        <v>0.3108</v>
      </c>
      <c r="H32" s="25">
        <f t="shared" si="21"/>
        <v>0.011272538860103654</v>
      </c>
      <c r="I32" s="25">
        <f t="shared" si="22"/>
        <v>0.3221</v>
      </c>
      <c r="J32" s="25">
        <f>ROUND(J$11/2,4)</f>
        <v>-0.0653</v>
      </c>
      <c r="K32" s="25">
        <f>ROUND(K$11/2,4)</f>
        <v>0.1219</v>
      </c>
      <c r="L32" s="134">
        <f t="shared" si="18"/>
        <v>0.3787</v>
      </c>
      <c r="M32" s="29">
        <v>0.3714</v>
      </c>
      <c r="N32" s="29">
        <f t="shared" si="23"/>
        <v>0.3333</v>
      </c>
      <c r="O32" s="29">
        <f>INPUT!E$84</f>
        <v>0</v>
      </c>
      <c r="P32" s="101">
        <f t="shared" si="26"/>
        <v>0.3333</v>
      </c>
      <c r="Q32" s="29">
        <f t="shared" si="24"/>
        <v>0.0092</v>
      </c>
      <c r="R32" s="137">
        <f t="shared" si="25"/>
        <v>0.38</v>
      </c>
      <c r="S32" s="139"/>
      <c r="T32" s="141">
        <v>0.38</v>
      </c>
      <c r="U32" s="103">
        <f t="shared" si="19"/>
        <v>0</v>
      </c>
    </row>
    <row r="33" spans="1:21" ht="14.25" thickBot="1" thickTop="1">
      <c r="A33" s="20" t="s">
        <v>162</v>
      </c>
      <c r="B33" s="26">
        <f>'CNTNR COST'!G31</f>
        <v>0.3277</v>
      </c>
      <c r="C33" s="25"/>
      <c r="D33" s="29">
        <f>+$D$13</f>
        <v>0.0746</v>
      </c>
      <c r="E33" s="30">
        <f>ROUND($E$11/32*12,4)</f>
        <v>0</v>
      </c>
      <c r="F33" s="30">
        <f>ROUND($F$11/32*12,4)</f>
        <v>0.004</v>
      </c>
      <c r="G33" s="25">
        <f t="shared" si="20"/>
        <v>0.4063</v>
      </c>
      <c r="H33" s="25">
        <f t="shared" si="21"/>
        <v>0.014736269430051852</v>
      </c>
      <c r="I33" s="25">
        <f t="shared" si="22"/>
        <v>0.421</v>
      </c>
      <c r="J33" s="25">
        <f>ROUND(J31/32*12,4)</f>
        <v>-0.0489</v>
      </c>
      <c r="K33" s="25">
        <f>ROUND(K31/32*12,4)</f>
        <v>0.0914</v>
      </c>
      <c r="L33" s="134">
        <f t="shared" si="18"/>
        <v>0.4635</v>
      </c>
      <c r="M33" s="29"/>
      <c r="N33" s="29">
        <f t="shared" si="23"/>
        <v>0.4079</v>
      </c>
      <c r="O33" s="29">
        <f>INPUT!E$85</f>
        <v>0</v>
      </c>
      <c r="P33" s="101">
        <f t="shared" si="26"/>
        <v>0.4079</v>
      </c>
      <c r="Q33" s="29">
        <f t="shared" si="24"/>
        <v>0.0113</v>
      </c>
      <c r="R33" s="137">
        <f t="shared" si="25"/>
        <v>0.47</v>
      </c>
      <c r="S33" s="139"/>
      <c r="T33" s="141"/>
      <c r="U33" s="103"/>
    </row>
    <row r="34" spans="1:21" ht="14.25" thickBot="1" thickTop="1">
      <c r="A34" s="20" t="s">
        <v>64</v>
      </c>
      <c r="B34" s="26">
        <f>'CNTNR COST'!G32</f>
        <v>0.1804</v>
      </c>
      <c r="C34" s="25">
        <v>0</v>
      </c>
      <c r="D34" s="25">
        <f>+$D$14</f>
        <v>0</v>
      </c>
      <c r="E34" s="30">
        <f>ROUND($E$11/32*10,4)</f>
        <v>0</v>
      </c>
      <c r="F34" s="30">
        <f>ROUND($F$11/32*10,4)</f>
        <v>0.0033</v>
      </c>
      <c r="G34" s="25">
        <f t="shared" si="20"/>
        <v>0.1837</v>
      </c>
      <c r="H34" s="25">
        <f t="shared" si="21"/>
        <v>0.006662694300518135</v>
      </c>
      <c r="I34" s="25">
        <f t="shared" si="22"/>
        <v>0.1904</v>
      </c>
      <c r="J34" s="25">
        <f>ROUND(J$11/3,4)</f>
        <v>-0.0435</v>
      </c>
      <c r="K34" s="25">
        <f>ROUND(K$11/3,4)</f>
        <v>0.0812</v>
      </c>
      <c r="L34" s="134">
        <f t="shared" si="18"/>
        <v>0.2281</v>
      </c>
      <c r="M34" s="29">
        <v>0.2597</v>
      </c>
      <c r="N34" s="29">
        <f t="shared" si="23"/>
        <v>0.2007</v>
      </c>
      <c r="O34" s="29">
        <f>INPUT!E$86</f>
        <v>0</v>
      </c>
      <c r="P34" s="101">
        <f t="shared" si="26"/>
        <v>0.2007</v>
      </c>
      <c r="Q34" s="29">
        <f t="shared" si="24"/>
        <v>0.0056</v>
      </c>
      <c r="R34" s="137">
        <f t="shared" si="25"/>
        <v>0.23</v>
      </c>
      <c r="S34" s="139"/>
      <c r="T34" s="141">
        <v>0.27</v>
      </c>
      <c r="U34" s="103">
        <f t="shared" si="19"/>
        <v>-0.04000000000000001</v>
      </c>
    </row>
    <row r="35" spans="1:21" ht="14.25" thickBot="1" thickTop="1">
      <c r="A35" s="20" t="s">
        <v>65</v>
      </c>
      <c r="B35" s="26">
        <f>'CNTNR COST'!G33</f>
        <v>0.1008</v>
      </c>
      <c r="C35" s="25">
        <v>0</v>
      </c>
      <c r="D35" s="25">
        <f>+$D$15</f>
        <v>0.0231</v>
      </c>
      <c r="E35" s="30">
        <f>ROUND($E$11/4,4)</f>
        <v>0</v>
      </c>
      <c r="F35" s="30">
        <f>ROUND($F$11/4,4)</f>
        <v>0.0027</v>
      </c>
      <c r="G35" s="25">
        <f t="shared" si="20"/>
        <v>0.1266</v>
      </c>
      <c r="H35" s="25">
        <f t="shared" si="21"/>
        <v>0.004591709844559588</v>
      </c>
      <c r="I35" s="25">
        <f t="shared" si="22"/>
        <v>0.1312</v>
      </c>
      <c r="J35" s="25">
        <f>ROUND(J$11/4,4)</f>
        <v>-0.0326</v>
      </c>
      <c r="K35" s="25">
        <f>ROUND(K$11/4,4)</f>
        <v>0.0609</v>
      </c>
      <c r="L35" s="134">
        <f t="shared" si="18"/>
        <v>0.1595</v>
      </c>
      <c r="M35" s="29">
        <v>0.1958</v>
      </c>
      <c r="N35" s="29">
        <f t="shared" si="23"/>
        <v>0.1404</v>
      </c>
      <c r="O35" s="29">
        <f>INPUT!E$87</f>
        <v>0</v>
      </c>
      <c r="P35" s="101">
        <f t="shared" si="26"/>
        <v>0.1404</v>
      </c>
      <c r="Q35" s="29">
        <f t="shared" si="24"/>
        <v>0.0039</v>
      </c>
      <c r="R35" s="137">
        <f t="shared" si="25"/>
        <v>0.16</v>
      </c>
      <c r="S35" s="139"/>
      <c r="T35" s="141">
        <v>0.2</v>
      </c>
      <c r="U35" s="103">
        <f t="shared" si="19"/>
        <v>-0.04000000000000001</v>
      </c>
    </row>
    <row r="36" spans="1:21" ht="14.25" thickBot="1" thickTop="1">
      <c r="A36" s="20" t="s">
        <v>66</v>
      </c>
      <c r="B36" s="26">
        <f>'CNTNR COST'!G34</f>
        <v>0.0863</v>
      </c>
      <c r="C36" s="25">
        <v>0</v>
      </c>
      <c r="D36" s="25">
        <f>+$D$16</f>
        <v>0.0363</v>
      </c>
      <c r="E36" s="30">
        <f>ROUND($E$11/8,4)</f>
        <v>0</v>
      </c>
      <c r="F36" s="30">
        <f>ROUND($F$11/8,4)</f>
        <v>0.0013</v>
      </c>
      <c r="G36" s="25">
        <f t="shared" si="20"/>
        <v>0.1239</v>
      </c>
      <c r="H36" s="25">
        <f t="shared" si="21"/>
        <v>0.0044937823834197005</v>
      </c>
      <c r="I36" s="25">
        <f t="shared" si="22"/>
        <v>0.1284</v>
      </c>
      <c r="J36" s="25">
        <f>ROUND(J$11/8,4)</f>
        <v>-0.0163</v>
      </c>
      <c r="K36" s="25">
        <f>ROUND(K$11/8,4)</f>
        <v>0.0305</v>
      </c>
      <c r="L36" s="134">
        <f t="shared" si="18"/>
        <v>0.1426</v>
      </c>
      <c r="M36" s="29">
        <v>0.1154</v>
      </c>
      <c r="N36" s="29">
        <f t="shared" si="23"/>
        <v>0.1255</v>
      </c>
      <c r="O36" s="29">
        <f>INPUT!E$88</f>
        <v>0</v>
      </c>
      <c r="P36" s="101">
        <f t="shared" si="26"/>
        <v>0.1255</v>
      </c>
      <c r="Q36" s="29">
        <f t="shared" si="24"/>
        <v>0.0035</v>
      </c>
      <c r="R36" s="137">
        <f t="shared" si="25"/>
        <v>0.15</v>
      </c>
      <c r="S36" s="139"/>
      <c r="T36" s="141">
        <v>0.12</v>
      </c>
      <c r="U36" s="103">
        <f t="shared" si="19"/>
        <v>0.03</v>
      </c>
    </row>
    <row r="37" spans="1:21" ht="14.25" thickBot="1" thickTop="1">
      <c r="A37" s="20" t="s">
        <v>94</v>
      </c>
      <c r="B37" s="35">
        <f>'CNTNR COST'!G35</f>
        <v>0.507</v>
      </c>
      <c r="C37" s="36">
        <v>0</v>
      </c>
      <c r="D37" s="36">
        <f>+$D$17</f>
        <v>0.1316</v>
      </c>
      <c r="E37" s="39">
        <f>ROUND($E$11,4)</f>
        <v>0</v>
      </c>
      <c r="F37" s="39">
        <f>ROUND($F$11,4)</f>
        <v>0.0106</v>
      </c>
      <c r="G37" s="36">
        <f t="shared" si="20"/>
        <v>0.6492</v>
      </c>
      <c r="H37" s="36">
        <f t="shared" si="21"/>
        <v>0.02354611398963735</v>
      </c>
      <c r="I37" s="36">
        <f t="shared" si="22"/>
        <v>0.6727</v>
      </c>
      <c r="J37" s="36">
        <f>J$11</f>
        <v>-0.1305</v>
      </c>
      <c r="K37" s="36">
        <f>K$11</f>
        <v>0.2437</v>
      </c>
      <c r="L37" s="135">
        <f t="shared" si="18"/>
        <v>0.7859</v>
      </c>
      <c r="M37" s="41">
        <v>0.6654</v>
      </c>
      <c r="N37" s="41">
        <f t="shared" si="23"/>
        <v>0.6916</v>
      </c>
      <c r="O37" s="41">
        <f>INPUT!E$89</f>
        <v>0</v>
      </c>
      <c r="P37" s="41">
        <f t="shared" si="26"/>
        <v>0.6916</v>
      </c>
      <c r="Q37" s="41">
        <f t="shared" si="24"/>
        <v>0.0192</v>
      </c>
      <c r="R37" s="138">
        <f>IF(ROUND(Q37+P37,2)&gt;L37,ROUND(Q37+P37,2),ROUND(L37+0.005,2))</f>
        <v>0.79</v>
      </c>
      <c r="S37" s="139"/>
      <c r="T37" s="142">
        <v>0.7</v>
      </c>
      <c r="U37" s="104">
        <f t="shared" si="19"/>
        <v>0.09000000000000008</v>
      </c>
    </row>
    <row r="38" spans="1:20" ht="14.25" thickBot="1" thickTop="1">
      <c r="A38" s="37" t="s">
        <v>49</v>
      </c>
      <c r="L38" s="42"/>
      <c r="M38" s="42"/>
      <c r="N38" s="42"/>
      <c r="O38" s="42"/>
      <c r="P38" s="42"/>
      <c r="Q38" s="42"/>
      <c r="R38" s="139"/>
      <c r="S38" s="139"/>
      <c r="T38" s="139"/>
    </row>
    <row r="39" spans="1:21" ht="14.25" thickBot="1" thickTop="1">
      <c r="A39" s="20" t="s">
        <v>12</v>
      </c>
      <c r="B39" s="34">
        <f>'CNTNR COST'!G37</f>
        <v>1.6194</v>
      </c>
      <c r="C39" s="24">
        <v>0</v>
      </c>
      <c r="D39" s="24">
        <f>+$D$9</f>
        <v>-0.1217</v>
      </c>
      <c r="E39" s="38">
        <f>ROUND($E$11*4,4)</f>
        <v>0</v>
      </c>
      <c r="F39" s="38">
        <f>ROUND($F$11*4,4)</f>
        <v>0.0424</v>
      </c>
      <c r="G39" s="24">
        <f>ROUND(SUM(B39:F39),4)</f>
        <v>1.5401</v>
      </c>
      <c r="H39" s="24">
        <f>(G39/(1-$H$5))-G39</f>
        <v>0.05585854922279787</v>
      </c>
      <c r="I39" s="24">
        <f>ROUND(G39+H39,4)</f>
        <v>1.596</v>
      </c>
      <c r="J39" s="24">
        <f>ROUND(J$11*4,4)</f>
        <v>-0.522</v>
      </c>
      <c r="K39" s="24">
        <f>ROUND(K$11*4,4)</f>
        <v>0.9748</v>
      </c>
      <c r="L39" s="133">
        <f aca="true" t="shared" si="27" ref="L39:L47">ROUND(SUM(I39:K39),4)</f>
        <v>2.0488</v>
      </c>
      <c r="M39" s="40">
        <v>2.3136</v>
      </c>
      <c r="N39" s="40">
        <f>ROUND(L39-(L39*WHSLE_DISCNT),4)</f>
        <v>1.8029</v>
      </c>
      <c r="O39" s="40">
        <f>INPUT!E$81</f>
        <v>0</v>
      </c>
      <c r="P39" s="100">
        <f>N39+O39</f>
        <v>1.8029</v>
      </c>
      <c r="Q39" s="40">
        <f>ROUND(P39/(1-RETAIL_PRFT)-P39,4)</f>
        <v>0.05</v>
      </c>
      <c r="R39" s="136">
        <f>IF(ROUND(Q39+P39,2)&gt;L39,ROUND(Q39+P39,2),ROUND(L39+0.005,2))</f>
        <v>2.05</v>
      </c>
      <c r="S39" s="139"/>
      <c r="T39" s="140">
        <v>2.48</v>
      </c>
      <c r="U39" s="102">
        <f aca="true" t="shared" si="28" ref="U39:U47">R39-T39</f>
        <v>-0.43000000000000016</v>
      </c>
    </row>
    <row r="40" spans="1:21" ht="14.25" thickBot="1" thickTop="1">
      <c r="A40" s="20" t="s">
        <v>63</v>
      </c>
      <c r="B40" s="26">
        <f>'CNTNR COST'!G38</f>
        <v>0.8097</v>
      </c>
      <c r="C40" s="25">
        <v>0</v>
      </c>
      <c r="D40" s="25">
        <f>+$D$10</f>
        <v>-0.0867</v>
      </c>
      <c r="E40" s="30">
        <f>ROUND($E$11*2,4)</f>
        <v>0</v>
      </c>
      <c r="F40" s="30">
        <f>ROUND($F$11*2,4)</f>
        <v>0.0212</v>
      </c>
      <c r="G40" s="25">
        <f aca="true" t="shared" si="29" ref="G40:G47">ROUND(SUM(B40:F40),4)</f>
        <v>0.7442</v>
      </c>
      <c r="H40" s="25">
        <f aca="true" t="shared" si="30" ref="H40:H47">(G40/(1-$H$5))-G40</f>
        <v>0.026991709844559564</v>
      </c>
      <c r="I40" s="25">
        <f aca="true" t="shared" si="31" ref="I40:I47">ROUND(G40+H40,4)</f>
        <v>0.7712</v>
      </c>
      <c r="J40" s="25">
        <f>ROUND(J$11*2,4)</f>
        <v>-0.261</v>
      </c>
      <c r="K40" s="25">
        <f>ROUND(K$11*2,4)</f>
        <v>0.4874</v>
      </c>
      <c r="L40" s="134">
        <f t="shared" si="27"/>
        <v>0.9976</v>
      </c>
      <c r="M40" s="29">
        <v>1.2021</v>
      </c>
      <c r="N40" s="29">
        <f aca="true" t="shared" si="32" ref="N40:N47">ROUND(L40-(L40*WHSLE_DISCNT),4)</f>
        <v>0.8779</v>
      </c>
      <c r="O40" s="29">
        <f>INPUT!E$82</f>
        <v>0</v>
      </c>
      <c r="P40" s="101">
        <f>O40+N40</f>
        <v>0.8779</v>
      </c>
      <c r="Q40" s="29">
        <f aca="true" t="shared" si="33" ref="Q40:Q47">ROUND(P40/(1-RETAIL_PRFT)-P40,4)</f>
        <v>0.0244</v>
      </c>
      <c r="R40" s="137">
        <f aca="true" t="shared" si="34" ref="R40:R46">IF(ROUND(Q40+P40,2)&gt;L40,ROUND(Q40+P40,2),ROUND(L40+0.005,2))</f>
        <v>1</v>
      </c>
      <c r="S40" s="139"/>
      <c r="T40" s="141">
        <v>1.28</v>
      </c>
      <c r="U40" s="103">
        <f t="shared" si="28"/>
        <v>-0.28</v>
      </c>
    </row>
    <row r="41" spans="1:21" ht="14.25" thickBot="1" thickTop="1">
      <c r="A41" s="20" t="s">
        <v>14</v>
      </c>
      <c r="B41" s="26">
        <f>'CNTNR COST'!G39</f>
        <v>0.4049</v>
      </c>
      <c r="C41" s="25">
        <v>0</v>
      </c>
      <c r="D41" s="25">
        <f>+$D$11</f>
        <v>0.1131</v>
      </c>
      <c r="E41" s="30">
        <f>ENERGY_ADDON</f>
        <v>0</v>
      </c>
      <c r="F41" s="30">
        <f>ROUND(COST_UPDATE_ADJ,4)</f>
        <v>0.0106</v>
      </c>
      <c r="G41" s="25">
        <f t="shared" si="29"/>
        <v>0.5286</v>
      </c>
      <c r="H41" s="25">
        <f t="shared" si="30"/>
        <v>0.019172020725388594</v>
      </c>
      <c r="I41" s="25">
        <f t="shared" si="31"/>
        <v>0.5478</v>
      </c>
      <c r="J41" s="25">
        <f>$J$11</f>
        <v>-0.1305</v>
      </c>
      <c r="K41" s="25">
        <f>$K$11</f>
        <v>0.2437</v>
      </c>
      <c r="L41" s="134">
        <f t="shared" si="27"/>
        <v>0.661</v>
      </c>
      <c r="M41" s="29">
        <v>0.6472</v>
      </c>
      <c r="N41" s="29">
        <f t="shared" si="32"/>
        <v>0.5817</v>
      </c>
      <c r="O41" s="29">
        <f>INPUT!E$83</f>
        <v>0</v>
      </c>
      <c r="P41" s="101">
        <f aca="true" t="shared" si="35" ref="P41:P47">O41+N41</f>
        <v>0.5817</v>
      </c>
      <c r="Q41" s="29">
        <f t="shared" si="33"/>
        <v>0.0161</v>
      </c>
      <c r="R41" s="137">
        <f t="shared" si="34"/>
        <v>0.67</v>
      </c>
      <c r="S41" s="139"/>
      <c r="T41" s="141">
        <v>0.68</v>
      </c>
      <c r="U41" s="103">
        <f t="shared" si="28"/>
        <v>-0.010000000000000009</v>
      </c>
    </row>
    <row r="42" spans="1:21" ht="14.25" thickBot="1" thickTop="1">
      <c r="A42" s="20" t="s">
        <v>15</v>
      </c>
      <c r="B42" s="26">
        <f>'CNTNR COST'!G40</f>
        <v>0.2024</v>
      </c>
      <c r="C42" s="25">
        <v>0</v>
      </c>
      <c r="D42" s="25">
        <f>+$D$12</f>
        <v>0.1039</v>
      </c>
      <c r="E42" s="30">
        <f>ROUND($E$11/2,4)</f>
        <v>0</v>
      </c>
      <c r="F42" s="30">
        <f>ROUND($F$11/2,4)</f>
        <v>0.0053</v>
      </c>
      <c r="G42" s="25">
        <f t="shared" si="29"/>
        <v>0.3116</v>
      </c>
      <c r="H42" s="25">
        <f t="shared" si="30"/>
        <v>0.011301554404145098</v>
      </c>
      <c r="I42" s="25">
        <f t="shared" si="31"/>
        <v>0.3229</v>
      </c>
      <c r="J42" s="25">
        <f>ROUND(J$11/2,4)</f>
        <v>-0.0653</v>
      </c>
      <c r="K42" s="25">
        <f>ROUND(K$11/2,4)</f>
        <v>0.1219</v>
      </c>
      <c r="L42" s="134">
        <f t="shared" si="27"/>
        <v>0.3795</v>
      </c>
      <c r="M42" s="29">
        <v>0.3555</v>
      </c>
      <c r="N42" s="29">
        <f t="shared" si="32"/>
        <v>0.334</v>
      </c>
      <c r="O42" s="29">
        <f>INPUT!E$84</f>
        <v>0</v>
      </c>
      <c r="P42" s="101">
        <f t="shared" si="35"/>
        <v>0.334</v>
      </c>
      <c r="Q42" s="29">
        <f t="shared" si="33"/>
        <v>0.0093</v>
      </c>
      <c r="R42" s="137">
        <f t="shared" si="34"/>
        <v>0.38</v>
      </c>
      <c r="S42" s="139"/>
      <c r="T42" s="141">
        <v>0.37</v>
      </c>
      <c r="U42" s="103">
        <f t="shared" si="28"/>
        <v>0.010000000000000009</v>
      </c>
    </row>
    <row r="43" spans="1:21" ht="14.25" thickBot="1" thickTop="1">
      <c r="A43" s="20" t="s">
        <v>162</v>
      </c>
      <c r="B43" s="26">
        <f>'CNTNR COST'!G41</f>
        <v>0.3284</v>
      </c>
      <c r="C43" s="25"/>
      <c r="D43" s="29">
        <f>+$D$13</f>
        <v>0.0746</v>
      </c>
      <c r="E43" s="30">
        <f>ROUND($E$11/32*12,4)</f>
        <v>0</v>
      </c>
      <c r="F43" s="30">
        <f>ROUND($F$11/32*12,4)</f>
        <v>0.004</v>
      </c>
      <c r="G43" s="25">
        <f t="shared" si="29"/>
        <v>0.407</v>
      </c>
      <c r="H43" s="25">
        <f t="shared" si="30"/>
        <v>0.014761658031088087</v>
      </c>
      <c r="I43" s="25">
        <f t="shared" si="31"/>
        <v>0.4218</v>
      </c>
      <c r="J43" s="25">
        <f>ROUND(J41/32*12,4)</f>
        <v>-0.0489</v>
      </c>
      <c r="K43" s="25">
        <f>ROUND(K41/32*12,4)</f>
        <v>0.0914</v>
      </c>
      <c r="L43" s="134">
        <f t="shared" si="27"/>
        <v>0.4643</v>
      </c>
      <c r="M43" s="29"/>
      <c r="N43" s="29">
        <f t="shared" si="32"/>
        <v>0.4086</v>
      </c>
      <c r="O43" s="29">
        <f>INPUT!E$85</f>
        <v>0</v>
      </c>
      <c r="P43" s="101">
        <f t="shared" si="35"/>
        <v>0.4086</v>
      </c>
      <c r="Q43" s="29">
        <f t="shared" si="33"/>
        <v>0.0113</v>
      </c>
      <c r="R43" s="137">
        <f t="shared" si="34"/>
        <v>0.47</v>
      </c>
      <c r="S43" s="139"/>
      <c r="T43" s="141"/>
      <c r="U43" s="103"/>
    </row>
    <row r="44" spans="1:21" ht="14.25" thickBot="1" thickTop="1">
      <c r="A44" s="20" t="s">
        <v>64</v>
      </c>
      <c r="B44" s="26">
        <f>'CNTNR COST'!G42</f>
        <v>0.1809</v>
      </c>
      <c r="C44" s="25">
        <v>0</v>
      </c>
      <c r="D44" s="25">
        <f>+$D$14</f>
        <v>0</v>
      </c>
      <c r="E44" s="30">
        <f>ROUND($E$11/32*10,4)</f>
        <v>0</v>
      </c>
      <c r="F44" s="30">
        <f>ROUND($F$11/32*10,4)</f>
        <v>0.0033</v>
      </c>
      <c r="G44" s="25">
        <f t="shared" si="29"/>
        <v>0.1842</v>
      </c>
      <c r="H44" s="25">
        <f t="shared" si="30"/>
        <v>0.0066808290155440375</v>
      </c>
      <c r="I44" s="25">
        <f t="shared" si="31"/>
        <v>0.1909</v>
      </c>
      <c r="J44" s="25">
        <f>ROUND(J$11/3,4)</f>
        <v>-0.0435</v>
      </c>
      <c r="K44" s="25">
        <f>ROUND(K$11/3,4)</f>
        <v>0.0812</v>
      </c>
      <c r="L44" s="134">
        <f t="shared" si="27"/>
        <v>0.2286</v>
      </c>
      <c r="M44" s="29">
        <v>0.2497</v>
      </c>
      <c r="N44" s="29">
        <f t="shared" si="32"/>
        <v>0.2012</v>
      </c>
      <c r="O44" s="29">
        <f>INPUT!E$86</f>
        <v>0</v>
      </c>
      <c r="P44" s="101">
        <f t="shared" si="35"/>
        <v>0.2012</v>
      </c>
      <c r="Q44" s="29">
        <f t="shared" si="33"/>
        <v>0.0056</v>
      </c>
      <c r="R44" s="137">
        <f t="shared" si="34"/>
        <v>0.23</v>
      </c>
      <c r="S44" s="139"/>
      <c r="T44" s="141">
        <v>0.26</v>
      </c>
      <c r="U44" s="103">
        <f t="shared" si="28"/>
        <v>-0.03</v>
      </c>
    </row>
    <row r="45" spans="1:21" ht="14.25" thickBot="1" thickTop="1">
      <c r="A45" s="20" t="s">
        <v>65</v>
      </c>
      <c r="B45" s="26">
        <f>'CNTNR COST'!G43</f>
        <v>0.1013</v>
      </c>
      <c r="C45" s="25">
        <v>0</v>
      </c>
      <c r="D45" s="25">
        <f>+$D$15</f>
        <v>0.0231</v>
      </c>
      <c r="E45" s="30">
        <f>ROUND($E$11/4,4)</f>
        <v>0</v>
      </c>
      <c r="F45" s="30">
        <f>ROUND($F$11/4,4)</f>
        <v>0.0027</v>
      </c>
      <c r="G45" s="25">
        <f t="shared" si="29"/>
        <v>0.1271</v>
      </c>
      <c r="H45" s="25">
        <f t="shared" si="30"/>
        <v>0.004609844559585491</v>
      </c>
      <c r="I45" s="25">
        <f t="shared" si="31"/>
        <v>0.1317</v>
      </c>
      <c r="J45" s="25">
        <f>ROUND(J$11/4,4)</f>
        <v>-0.0326</v>
      </c>
      <c r="K45" s="25">
        <f>ROUND(K$11/4,4)</f>
        <v>0.0609</v>
      </c>
      <c r="L45" s="134">
        <f t="shared" si="27"/>
        <v>0.16</v>
      </c>
      <c r="M45" s="29">
        <v>0.1878</v>
      </c>
      <c r="N45" s="29">
        <f t="shared" si="32"/>
        <v>0.1408</v>
      </c>
      <c r="O45" s="29">
        <f>INPUT!E$87</f>
        <v>0</v>
      </c>
      <c r="P45" s="101">
        <f t="shared" si="35"/>
        <v>0.1408</v>
      </c>
      <c r="Q45" s="29">
        <f t="shared" si="33"/>
        <v>0.0039</v>
      </c>
      <c r="R45" s="137">
        <f t="shared" si="34"/>
        <v>0.17</v>
      </c>
      <c r="S45" s="139"/>
      <c r="T45" s="141">
        <v>0.19</v>
      </c>
      <c r="U45" s="103">
        <f t="shared" si="28"/>
        <v>-0.01999999999999999</v>
      </c>
    </row>
    <row r="46" spans="1:21" ht="14.25" thickBot="1" thickTop="1">
      <c r="A46" s="20" t="s">
        <v>66</v>
      </c>
      <c r="B46" s="26">
        <f>'CNTNR COST'!G44</f>
        <v>0.0865</v>
      </c>
      <c r="C46" s="25">
        <v>0</v>
      </c>
      <c r="D46" s="25">
        <f>+$D$16</f>
        <v>0.0363</v>
      </c>
      <c r="E46" s="30">
        <f>ROUND($E$11/8,4)</f>
        <v>0</v>
      </c>
      <c r="F46" s="30">
        <f>ROUND($F$11/8,4)</f>
        <v>0.0013</v>
      </c>
      <c r="G46" s="25">
        <f t="shared" si="29"/>
        <v>0.1241</v>
      </c>
      <c r="H46" s="25">
        <f t="shared" si="30"/>
        <v>0.0045010362694300615</v>
      </c>
      <c r="I46" s="25">
        <f t="shared" si="31"/>
        <v>0.1286</v>
      </c>
      <c r="J46" s="25">
        <f>ROUND(J$11/8,4)</f>
        <v>-0.0163</v>
      </c>
      <c r="K46" s="25">
        <f>ROUND(K$11/8,4)</f>
        <v>0.0305</v>
      </c>
      <c r="L46" s="134">
        <f t="shared" si="27"/>
        <v>0.1428</v>
      </c>
      <c r="M46" s="29">
        <v>0.1114</v>
      </c>
      <c r="N46" s="29">
        <f t="shared" si="32"/>
        <v>0.1257</v>
      </c>
      <c r="O46" s="29">
        <f>INPUT!E$88</f>
        <v>0</v>
      </c>
      <c r="P46" s="101">
        <f t="shared" si="35"/>
        <v>0.1257</v>
      </c>
      <c r="Q46" s="29">
        <f t="shared" si="33"/>
        <v>0.0035</v>
      </c>
      <c r="R46" s="137">
        <f t="shared" si="34"/>
        <v>0.15</v>
      </c>
      <c r="S46" s="139"/>
      <c r="T46" s="141">
        <v>0.12</v>
      </c>
      <c r="U46" s="103">
        <f t="shared" si="28"/>
        <v>0.03</v>
      </c>
    </row>
    <row r="47" spans="1:21" ht="14.25" thickBot="1" thickTop="1">
      <c r="A47" s="20" t="s">
        <v>94</v>
      </c>
      <c r="B47" s="35">
        <f>'CNTNR COST'!G45</f>
        <v>0.5088</v>
      </c>
      <c r="C47" s="36">
        <v>0</v>
      </c>
      <c r="D47" s="36">
        <f>+$D$17</f>
        <v>0.1316</v>
      </c>
      <c r="E47" s="39">
        <f>ROUND($E$11,4)</f>
        <v>0</v>
      </c>
      <c r="F47" s="39">
        <f>ROUND($F$11,4)</f>
        <v>0.0106</v>
      </c>
      <c r="G47" s="36">
        <f t="shared" si="29"/>
        <v>0.651</v>
      </c>
      <c r="H47" s="36">
        <f t="shared" si="30"/>
        <v>0.023611398963730545</v>
      </c>
      <c r="I47" s="36">
        <f t="shared" si="31"/>
        <v>0.6746</v>
      </c>
      <c r="J47" s="36">
        <f>J$11</f>
        <v>-0.1305</v>
      </c>
      <c r="K47" s="36">
        <f>K$11</f>
        <v>0.2437</v>
      </c>
      <c r="L47" s="135">
        <f t="shared" si="27"/>
        <v>0.7878</v>
      </c>
      <c r="M47" s="41">
        <v>0.6337</v>
      </c>
      <c r="N47" s="41">
        <f t="shared" si="32"/>
        <v>0.6933</v>
      </c>
      <c r="O47" s="41">
        <f>INPUT!E$89</f>
        <v>0</v>
      </c>
      <c r="P47" s="41">
        <f t="shared" si="35"/>
        <v>0.6933</v>
      </c>
      <c r="Q47" s="41">
        <f t="shared" si="33"/>
        <v>0.0192</v>
      </c>
      <c r="R47" s="138">
        <f>IF(ROUND(Q47+P47,2)&gt;L47,ROUND(Q47+P47,2),ROUND(L47+0.005,2))</f>
        <v>0.79</v>
      </c>
      <c r="S47" s="139"/>
      <c r="T47" s="142">
        <v>0.67</v>
      </c>
      <c r="U47" s="104">
        <f t="shared" si="28"/>
        <v>0.12</v>
      </c>
    </row>
    <row r="48" spans="1:20" ht="14.25" thickBot="1" thickTop="1">
      <c r="A48" s="37" t="s">
        <v>25</v>
      </c>
      <c r="L48" s="42"/>
      <c r="M48" s="42"/>
      <c r="N48" s="42"/>
      <c r="O48" s="42"/>
      <c r="P48" s="42"/>
      <c r="Q48" s="42"/>
      <c r="R48" s="139"/>
      <c r="S48" s="139"/>
      <c r="T48" s="139"/>
    </row>
    <row r="49" spans="1:21" ht="14.25" thickBot="1" thickTop="1">
      <c r="A49" s="20" t="s">
        <v>12</v>
      </c>
      <c r="B49" s="34">
        <f>'CNTNR COST'!G47</f>
        <v>1.6096</v>
      </c>
      <c r="C49" s="24">
        <v>0</v>
      </c>
      <c r="D49" s="24">
        <f>+$D$9</f>
        <v>-0.1217</v>
      </c>
      <c r="E49" s="38">
        <f>ROUND($E$11*4,4)</f>
        <v>0</v>
      </c>
      <c r="F49" s="38">
        <f>ROUND($F$11*4,4)</f>
        <v>0.0424</v>
      </c>
      <c r="G49" s="24">
        <f>ROUND(SUM(B49:F49),4)</f>
        <v>1.5303</v>
      </c>
      <c r="H49" s="24">
        <f>(G49/(1-$H$5))-G49</f>
        <v>0.055503108808290236</v>
      </c>
      <c r="I49" s="24">
        <f>ROUND(G49+H49,4)</f>
        <v>1.5858</v>
      </c>
      <c r="J49" s="24">
        <f>ROUND(J$11*4,4)</f>
        <v>-0.522</v>
      </c>
      <c r="K49" s="24">
        <f>ROUND(K$11*4,4)</f>
        <v>0.9748</v>
      </c>
      <c r="L49" s="133">
        <f aca="true" t="shared" si="36" ref="L49:L57">ROUND(SUM(I49:K49),4)</f>
        <v>2.0386</v>
      </c>
      <c r="M49" s="40">
        <v>2.9726</v>
      </c>
      <c r="N49" s="40">
        <f>ROUND(L49-(L49*WHSLE_DISCNT),4)</f>
        <v>1.794</v>
      </c>
      <c r="O49" s="40">
        <f>INPUT!E$81</f>
        <v>0</v>
      </c>
      <c r="P49" s="100">
        <f>N49+O49</f>
        <v>1.794</v>
      </c>
      <c r="Q49" s="40">
        <f>ROUND(P49/(1-RETAIL_PRFT)-P49,4)</f>
        <v>0.0498</v>
      </c>
      <c r="R49" s="136">
        <f>IF(ROUND(Q49+P49,2)&gt;L49,ROUND(Q49+P49,2),ROUND(L49+0.005,2))</f>
        <v>2.04</v>
      </c>
      <c r="S49" s="139"/>
      <c r="T49" s="140">
        <v>3.08</v>
      </c>
      <c r="U49" s="102">
        <f aca="true" t="shared" si="37" ref="U49:U57">R49-T49</f>
        <v>-1.04</v>
      </c>
    </row>
    <row r="50" spans="1:21" ht="14.25" thickBot="1" thickTop="1">
      <c r="A50" s="20" t="s">
        <v>63</v>
      </c>
      <c r="B50" s="26">
        <f>'CNTNR COST'!G48</f>
        <v>0.8048</v>
      </c>
      <c r="C50" s="25">
        <v>0</v>
      </c>
      <c r="D50" s="25">
        <f>+$D$10</f>
        <v>-0.0867</v>
      </c>
      <c r="E50" s="30">
        <f>ROUND($E$11*2,4)</f>
        <v>0</v>
      </c>
      <c r="F50" s="30">
        <f>ROUND($F$11*2,4)</f>
        <v>0.0212</v>
      </c>
      <c r="G50" s="25">
        <f aca="true" t="shared" si="38" ref="G50:G57">ROUND(SUM(B50:F50),4)</f>
        <v>0.7393</v>
      </c>
      <c r="H50" s="25">
        <f aca="true" t="shared" si="39" ref="H50:H57">(G50/(1-$H$5))-G50</f>
        <v>0.026813989637305746</v>
      </c>
      <c r="I50" s="25">
        <f aca="true" t="shared" si="40" ref="I50:I57">ROUND(G50+H50,4)</f>
        <v>0.7661</v>
      </c>
      <c r="J50" s="25">
        <f>ROUND(J$11*2,4)</f>
        <v>-0.261</v>
      </c>
      <c r="K50" s="25">
        <f>ROUND(K$11*2,4)</f>
        <v>0.4874</v>
      </c>
      <c r="L50" s="134">
        <f t="shared" si="36"/>
        <v>0.9925</v>
      </c>
      <c r="M50" s="29">
        <v>1.5316</v>
      </c>
      <c r="N50" s="29">
        <f aca="true" t="shared" si="41" ref="N50:N57">ROUND(L50-(L50*WHSLE_DISCNT),4)</f>
        <v>0.8734</v>
      </c>
      <c r="O50" s="29">
        <f>INPUT!E$82</f>
        <v>0</v>
      </c>
      <c r="P50" s="101">
        <f>O50+N50</f>
        <v>0.8734</v>
      </c>
      <c r="Q50" s="29">
        <f aca="true" t="shared" si="42" ref="Q50:Q57">ROUND(P50/(1-RETAIL_PRFT)-P50,4)</f>
        <v>0.0242</v>
      </c>
      <c r="R50" s="137">
        <f aca="true" t="shared" si="43" ref="R50:R56">IF(ROUND(Q50+P50,2)&gt;L50,ROUND(Q50+P50,2),ROUND(L50+0.005,2))</f>
        <v>1</v>
      </c>
      <c r="S50" s="139"/>
      <c r="T50" s="141">
        <v>1.58</v>
      </c>
      <c r="U50" s="103">
        <f t="shared" si="37"/>
        <v>-0.5800000000000001</v>
      </c>
    </row>
    <row r="51" spans="1:21" ht="14.25" thickBot="1" thickTop="1">
      <c r="A51" s="20" t="s">
        <v>14</v>
      </c>
      <c r="B51" s="26">
        <f>'CNTNR COST'!G49</f>
        <v>0.4024</v>
      </c>
      <c r="C51" s="25">
        <v>0</v>
      </c>
      <c r="D51" s="25">
        <f>+$D$11</f>
        <v>0.1131</v>
      </c>
      <c r="E51" s="30">
        <f>ENERGY_ADDON</f>
        <v>0</v>
      </c>
      <c r="F51" s="30">
        <f>ROUND(COST_UPDATE_ADJ,4)</f>
        <v>0.0106</v>
      </c>
      <c r="G51" s="25">
        <f t="shared" si="38"/>
        <v>0.5261</v>
      </c>
      <c r="H51" s="25">
        <f t="shared" si="39"/>
        <v>0.01908134715025911</v>
      </c>
      <c r="I51" s="25">
        <f t="shared" si="40"/>
        <v>0.5452</v>
      </c>
      <c r="J51" s="25">
        <f>$J$11</f>
        <v>-0.1305</v>
      </c>
      <c r="K51" s="25">
        <f>$K$11</f>
        <v>0.2437</v>
      </c>
      <c r="L51" s="134">
        <f t="shared" si="36"/>
        <v>0.6584</v>
      </c>
      <c r="M51" s="29">
        <v>0.812</v>
      </c>
      <c r="N51" s="29">
        <f t="shared" si="41"/>
        <v>0.5794</v>
      </c>
      <c r="O51" s="29">
        <f>INPUT!E$83</f>
        <v>0</v>
      </c>
      <c r="P51" s="101">
        <f aca="true" t="shared" si="44" ref="P51:P57">O51+N51</f>
        <v>0.5794</v>
      </c>
      <c r="Q51" s="29">
        <f t="shared" si="42"/>
        <v>0.0161</v>
      </c>
      <c r="R51" s="137">
        <f t="shared" si="43"/>
        <v>0.66</v>
      </c>
      <c r="S51" s="139"/>
      <c r="T51" s="141">
        <v>0.83</v>
      </c>
      <c r="U51" s="103">
        <f t="shared" si="37"/>
        <v>-0.16999999999999993</v>
      </c>
    </row>
    <row r="52" spans="1:21" ht="14.25" thickBot="1" thickTop="1">
      <c r="A52" s="20" t="s">
        <v>15</v>
      </c>
      <c r="B52" s="26">
        <f>'CNTNR COST'!G50</f>
        <v>0.2012</v>
      </c>
      <c r="C52" s="25">
        <v>0</v>
      </c>
      <c r="D52" s="25">
        <f>+$D$12</f>
        <v>0.1039</v>
      </c>
      <c r="E52" s="30">
        <f>ROUND($E$11/2,4)</f>
        <v>0</v>
      </c>
      <c r="F52" s="30">
        <f>ROUND($F$11/2,4)</f>
        <v>0.0053</v>
      </c>
      <c r="G52" s="25">
        <f t="shared" si="38"/>
        <v>0.3104</v>
      </c>
      <c r="H52" s="25">
        <f t="shared" si="39"/>
        <v>0.011258031088082932</v>
      </c>
      <c r="I52" s="25">
        <f t="shared" si="40"/>
        <v>0.3217</v>
      </c>
      <c r="J52" s="25">
        <f>ROUND(J$11/2,4)</f>
        <v>-0.0653</v>
      </c>
      <c r="K52" s="25">
        <f>ROUND(K$11/2,4)</f>
        <v>0.1219</v>
      </c>
      <c r="L52" s="134">
        <f t="shared" si="36"/>
        <v>0.3783</v>
      </c>
      <c r="M52" s="29">
        <v>0.4379</v>
      </c>
      <c r="N52" s="29">
        <f t="shared" si="41"/>
        <v>0.3329</v>
      </c>
      <c r="O52" s="29">
        <f>INPUT!E$84</f>
        <v>0</v>
      </c>
      <c r="P52" s="101">
        <f t="shared" si="44"/>
        <v>0.3329</v>
      </c>
      <c r="Q52" s="29">
        <f t="shared" si="42"/>
        <v>0.0092</v>
      </c>
      <c r="R52" s="137">
        <f t="shared" si="43"/>
        <v>0.38</v>
      </c>
      <c r="S52" s="139"/>
      <c r="T52" s="141">
        <v>0.44</v>
      </c>
      <c r="U52" s="103">
        <f t="shared" si="37"/>
        <v>-0.06</v>
      </c>
    </row>
    <row r="53" spans="1:21" ht="14.25" thickBot="1" thickTop="1">
      <c r="A53" s="20" t="s">
        <v>162</v>
      </c>
      <c r="B53" s="26">
        <f>'CNTNR COST'!G51</f>
        <v>0.3275</v>
      </c>
      <c r="C53" s="25"/>
      <c r="D53" s="29">
        <f>+$D$13</f>
        <v>0.0746</v>
      </c>
      <c r="E53" s="30">
        <f>ROUND($E$11/32*12,4)</f>
        <v>0</v>
      </c>
      <c r="F53" s="30">
        <f>ROUND($F$11/32*12,4)</f>
        <v>0.004</v>
      </c>
      <c r="G53" s="25">
        <f t="shared" si="38"/>
        <v>0.4061</v>
      </c>
      <c r="H53" s="25">
        <f t="shared" si="39"/>
        <v>0.01472901554404149</v>
      </c>
      <c r="I53" s="25">
        <f t="shared" si="40"/>
        <v>0.4208</v>
      </c>
      <c r="J53" s="25">
        <f>ROUND(J51/32*12,4)</f>
        <v>-0.0489</v>
      </c>
      <c r="K53" s="25">
        <f>ROUND(K51/32*12,4)</f>
        <v>0.0914</v>
      </c>
      <c r="L53" s="134">
        <f t="shared" si="36"/>
        <v>0.4633</v>
      </c>
      <c r="M53" s="29"/>
      <c r="N53" s="29">
        <f t="shared" si="41"/>
        <v>0.4077</v>
      </c>
      <c r="O53" s="29">
        <f>INPUT!E$85</f>
        <v>0</v>
      </c>
      <c r="P53" s="101">
        <f t="shared" si="44"/>
        <v>0.4077</v>
      </c>
      <c r="Q53" s="29">
        <f t="shared" si="42"/>
        <v>0.0113</v>
      </c>
      <c r="R53" s="137">
        <f t="shared" si="43"/>
        <v>0.47</v>
      </c>
      <c r="S53" s="139"/>
      <c r="T53" s="141"/>
      <c r="U53" s="103"/>
    </row>
    <row r="54" spans="1:21" ht="14.25" thickBot="1" thickTop="1">
      <c r="A54" s="20" t="s">
        <v>64</v>
      </c>
      <c r="B54" s="26">
        <f>'CNTNR COST'!G52</f>
        <v>0.1802</v>
      </c>
      <c r="C54" s="25">
        <v>0</v>
      </c>
      <c r="D54" s="25">
        <f>+$D$14</f>
        <v>0</v>
      </c>
      <c r="E54" s="30">
        <f>ROUND($E$11/32*10,4)</f>
        <v>0</v>
      </c>
      <c r="F54" s="30">
        <f>ROUND($F$11/32*10,4)</f>
        <v>0.0033</v>
      </c>
      <c r="G54" s="25">
        <f t="shared" si="38"/>
        <v>0.1835</v>
      </c>
      <c r="H54" s="25">
        <f t="shared" si="39"/>
        <v>0.006655440414507774</v>
      </c>
      <c r="I54" s="25">
        <f t="shared" si="40"/>
        <v>0.1902</v>
      </c>
      <c r="J54" s="25">
        <f>ROUND(J$11/3,4)</f>
        <v>-0.0435</v>
      </c>
      <c r="K54" s="25">
        <f>ROUND(K$11/3,4)</f>
        <v>0.0812</v>
      </c>
      <c r="L54" s="134">
        <f t="shared" si="36"/>
        <v>0.2279</v>
      </c>
      <c r="M54" s="29">
        <v>0.3013</v>
      </c>
      <c r="N54" s="29">
        <f t="shared" si="41"/>
        <v>0.2006</v>
      </c>
      <c r="O54" s="29">
        <f>INPUT!E$86</f>
        <v>0</v>
      </c>
      <c r="P54" s="101">
        <f t="shared" si="44"/>
        <v>0.2006</v>
      </c>
      <c r="Q54" s="29">
        <f t="shared" si="42"/>
        <v>0.0056</v>
      </c>
      <c r="R54" s="137">
        <f t="shared" si="43"/>
        <v>0.23</v>
      </c>
      <c r="S54" s="139"/>
      <c r="T54" s="141">
        <v>0.31</v>
      </c>
      <c r="U54" s="103">
        <f t="shared" si="37"/>
        <v>-0.07999999999999999</v>
      </c>
    </row>
    <row r="55" spans="1:21" ht="14.25" thickBot="1" thickTop="1">
      <c r="A55" s="20" t="s">
        <v>65</v>
      </c>
      <c r="B55" s="26">
        <f>'CNTNR COST'!G53</f>
        <v>0.1007</v>
      </c>
      <c r="C55" s="25">
        <v>0</v>
      </c>
      <c r="D55" s="25">
        <f>+$D$15</f>
        <v>0.0231</v>
      </c>
      <c r="E55" s="30">
        <f>ROUND($E$11/4,4)</f>
        <v>0</v>
      </c>
      <c r="F55" s="30">
        <f>ROUND($F$11/4,4)</f>
        <v>0.0027</v>
      </c>
      <c r="G55" s="25">
        <f t="shared" si="38"/>
        <v>0.1265</v>
      </c>
      <c r="H55" s="25">
        <f t="shared" si="39"/>
        <v>0.004588082901554408</v>
      </c>
      <c r="I55" s="25">
        <f t="shared" si="40"/>
        <v>0.1311</v>
      </c>
      <c r="J55" s="25">
        <f>ROUND(J$11/4,4)</f>
        <v>-0.0326</v>
      </c>
      <c r="K55" s="25">
        <f>ROUND(K$11/4,4)</f>
        <v>0.0609</v>
      </c>
      <c r="L55" s="134">
        <f t="shared" si="36"/>
        <v>0.1594</v>
      </c>
      <c r="M55" s="29">
        <v>0.2291</v>
      </c>
      <c r="N55" s="29">
        <f t="shared" si="41"/>
        <v>0.1403</v>
      </c>
      <c r="O55" s="29">
        <f>INPUT!E$87</f>
        <v>0</v>
      </c>
      <c r="P55" s="101">
        <f t="shared" si="44"/>
        <v>0.1403</v>
      </c>
      <c r="Q55" s="29">
        <f t="shared" si="42"/>
        <v>0.0039</v>
      </c>
      <c r="R55" s="137">
        <f t="shared" si="43"/>
        <v>0.16</v>
      </c>
      <c r="S55" s="139"/>
      <c r="T55" s="141">
        <v>0.23</v>
      </c>
      <c r="U55" s="103">
        <f t="shared" si="37"/>
        <v>-0.07</v>
      </c>
    </row>
    <row r="56" spans="1:21" ht="14.25" thickBot="1" thickTop="1">
      <c r="A56" s="20" t="s">
        <v>66</v>
      </c>
      <c r="B56" s="26">
        <f>'CNTNR COST'!G54</f>
        <v>0.0862</v>
      </c>
      <c r="C56" s="25">
        <v>0</v>
      </c>
      <c r="D56" s="25">
        <f>+$D$16</f>
        <v>0.0363</v>
      </c>
      <c r="E56" s="30">
        <f>ROUND($E$11/8,4)</f>
        <v>0</v>
      </c>
      <c r="F56" s="30">
        <f>ROUND($F$11/8,4)</f>
        <v>0.0013</v>
      </c>
      <c r="G56" s="25">
        <f t="shared" si="38"/>
        <v>0.1238</v>
      </c>
      <c r="H56" s="25">
        <f t="shared" si="39"/>
        <v>0.004490155440414506</v>
      </c>
      <c r="I56" s="25">
        <f t="shared" si="40"/>
        <v>0.1283</v>
      </c>
      <c r="J56" s="25">
        <f>ROUND(J$11/8,4)</f>
        <v>-0.0163</v>
      </c>
      <c r="K56" s="25">
        <f>ROUND(K$11/8,4)</f>
        <v>0.0305</v>
      </c>
      <c r="L56" s="134">
        <f t="shared" si="36"/>
        <v>0.1425</v>
      </c>
      <c r="M56" s="29">
        <v>0.132</v>
      </c>
      <c r="N56" s="29">
        <f t="shared" si="41"/>
        <v>0.1254</v>
      </c>
      <c r="O56" s="29">
        <f>INPUT!E$88</f>
        <v>0</v>
      </c>
      <c r="P56" s="101">
        <f t="shared" si="44"/>
        <v>0.1254</v>
      </c>
      <c r="Q56" s="29">
        <f t="shared" si="42"/>
        <v>0.0035</v>
      </c>
      <c r="R56" s="137">
        <f t="shared" si="43"/>
        <v>0.15</v>
      </c>
      <c r="S56" s="139"/>
      <c r="T56" s="141">
        <v>0.14</v>
      </c>
      <c r="U56" s="103">
        <f t="shared" si="37"/>
        <v>0.009999999999999981</v>
      </c>
    </row>
    <row r="57" spans="1:21" ht="14.25" thickBot="1" thickTop="1">
      <c r="A57" s="20" t="s">
        <v>94</v>
      </c>
      <c r="B57" s="35">
        <f>'CNTNR COST'!G55</f>
        <v>0.5063</v>
      </c>
      <c r="C57" s="36">
        <v>0</v>
      </c>
      <c r="D57" s="36">
        <f>+$D$17</f>
        <v>0.1316</v>
      </c>
      <c r="E57" s="39">
        <f>ROUND($E$11,4)</f>
        <v>0</v>
      </c>
      <c r="F57" s="39">
        <f>ROUND($F$11,4)</f>
        <v>0.0106</v>
      </c>
      <c r="G57" s="36">
        <f t="shared" si="38"/>
        <v>0.6485</v>
      </c>
      <c r="H57" s="36">
        <f t="shared" si="39"/>
        <v>0.02352072538860106</v>
      </c>
      <c r="I57" s="36">
        <f t="shared" si="40"/>
        <v>0.672</v>
      </c>
      <c r="J57" s="36">
        <f>J$11</f>
        <v>-0.1305</v>
      </c>
      <c r="K57" s="36">
        <f>K$11</f>
        <v>0.2437</v>
      </c>
      <c r="L57" s="135">
        <f t="shared" si="36"/>
        <v>0.7852</v>
      </c>
      <c r="M57" s="41">
        <v>0.7984</v>
      </c>
      <c r="N57" s="41">
        <f t="shared" si="41"/>
        <v>0.691</v>
      </c>
      <c r="O57" s="41">
        <f>INPUT!E$89</f>
        <v>0</v>
      </c>
      <c r="P57" s="41">
        <f t="shared" si="44"/>
        <v>0.691</v>
      </c>
      <c r="Q57" s="41">
        <f t="shared" si="42"/>
        <v>0.0192</v>
      </c>
      <c r="R57" s="138">
        <f>IF(ROUND(Q57+P57,2)&gt;L57,ROUND(Q57+P57,2),ROUND(L57+0.005,2))</f>
        <v>0.79</v>
      </c>
      <c r="S57" s="139"/>
      <c r="T57" s="142">
        <v>0.82</v>
      </c>
      <c r="U57" s="104">
        <f t="shared" si="37"/>
        <v>-0.029999999999999916</v>
      </c>
    </row>
    <row r="58" spans="1:20" ht="14.25" thickBot="1" thickTop="1">
      <c r="A58" s="20" t="s">
        <v>50</v>
      </c>
      <c r="L58" s="42"/>
      <c r="M58" s="42"/>
      <c r="N58" s="42"/>
      <c r="O58" s="42"/>
      <c r="P58" s="42"/>
      <c r="Q58" s="42"/>
      <c r="R58" s="139"/>
      <c r="S58" s="139"/>
      <c r="T58" s="139"/>
    </row>
    <row r="59" spans="1:21" ht="14.25" thickBot="1" thickTop="1">
      <c r="A59" s="20" t="s">
        <v>12</v>
      </c>
      <c r="B59" s="34">
        <f>'CNTNR COST'!G57</f>
        <v>1.6096</v>
      </c>
      <c r="C59" s="24">
        <v>0</v>
      </c>
      <c r="D59" s="24">
        <f>+$D$9</f>
        <v>-0.1217</v>
      </c>
      <c r="E59" s="38">
        <f>ROUND($E$11*4,4)</f>
        <v>0</v>
      </c>
      <c r="F59" s="38">
        <f>ROUND($F$11*4,4)</f>
        <v>0.0424</v>
      </c>
      <c r="G59" s="24">
        <f>ROUND(SUM(B59:F59),4)</f>
        <v>1.5303</v>
      </c>
      <c r="H59" s="24">
        <f>(G59/(1-$H$5))-G59</f>
        <v>0.055503108808290236</v>
      </c>
      <c r="I59" s="24">
        <f>ROUND(G59+H59,4)</f>
        <v>1.5858</v>
      </c>
      <c r="J59" s="24">
        <f>ROUND(J$11*4,4)</f>
        <v>-0.522</v>
      </c>
      <c r="K59" s="24">
        <f>ROUND(K$11*4,4)</f>
        <v>0.9748</v>
      </c>
      <c r="L59" s="133">
        <f aca="true" t="shared" si="45" ref="L59:L67">ROUND(SUM(I59:K59),4)</f>
        <v>2.0386</v>
      </c>
      <c r="M59" s="40">
        <v>2.6418</v>
      </c>
      <c r="N59" s="40">
        <f>ROUND(L59-(L59*WHSLE_DISCNT),4)</f>
        <v>1.794</v>
      </c>
      <c r="O59" s="40">
        <f>INPUT!E$81</f>
        <v>0</v>
      </c>
      <c r="P59" s="100">
        <f>N59+O59</f>
        <v>1.794</v>
      </c>
      <c r="Q59" s="40">
        <f>ROUND(P59/(1-RETAIL_PRFT)-P59,4)</f>
        <v>0.0498</v>
      </c>
      <c r="R59" s="136">
        <f>IF(ROUND(Q59+P59,2)&gt;L59,ROUND(Q59+P59,2),ROUND(L59+0.005,2))</f>
        <v>2.04</v>
      </c>
      <c r="S59" s="139"/>
      <c r="T59" s="140">
        <v>2.78</v>
      </c>
      <c r="U59" s="102">
        <f aca="true" t="shared" si="46" ref="U59:U67">R59-T59</f>
        <v>-0.7399999999999998</v>
      </c>
    </row>
    <row r="60" spans="1:21" ht="14.25" thickBot="1" thickTop="1">
      <c r="A60" s="20" t="s">
        <v>63</v>
      </c>
      <c r="B60" s="26">
        <f>'CNTNR COST'!G58</f>
        <v>0.8048</v>
      </c>
      <c r="C60" s="25">
        <v>0</v>
      </c>
      <c r="D60" s="25">
        <f>+$D$10</f>
        <v>-0.0867</v>
      </c>
      <c r="E60" s="30">
        <f>ROUND($E$11*2,4)</f>
        <v>0</v>
      </c>
      <c r="F60" s="30">
        <f>ROUND($F$11*2,4)</f>
        <v>0.0212</v>
      </c>
      <c r="G60" s="25">
        <f aca="true" t="shared" si="47" ref="G60:G67">ROUND(SUM(B60:F60),4)</f>
        <v>0.7393</v>
      </c>
      <c r="H60" s="25">
        <f aca="true" t="shared" si="48" ref="H60:H67">(G60/(1-$H$5))-G60</f>
        <v>0.026813989637305746</v>
      </c>
      <c r="I60" s="25">
        <f aca="true" t="shared" si="49" ref="I60:I67">ROUND(G60+H60,4)</f>
        <v>0.7661</v>
      </c>
      <c r="J60" s="25">
        <f>ROUND(J$11*2,4)</f>
        <v>-0.261</v>
      </c>
      <c r="K60" s="25">
        <f>ROUND(K$11*2,4)</f>
        <v>0.4874</v>
      </c>
      <c r="L60" s="134">
        <f t="shared" si="45"/>
        <v>0.9925</v>
      </c>
      <c r="M60" s="29">
        <v>1.3662</v>
      </c>
      <c r="N60" s="29">
        <f aca="true" t="shared" si="50" ref="N60:N67">ROUND(L60-(L60*WHSLE_DISCNT),4)</f>
        <v>0.8734</v>
      </c>
      <c r="O60" s="29">
        <f>INPUT!E$82</f>
        <v>0</v>
      </c>
      <c r="P60" s="101">
        <f>O60+N60</f>
        <v>0.8734</v>
      </c>
      <c r="Q60" s="29">
        <f aca="true" t="shared" si="51" ref="Q60:Q67">ROUND(P60/(1-RETAIL_PRFT)-P60,4)</f>
        <v>0.0242</v>
      </c>
      <c r="R60" s="137">
        <f aca="true" t="shared" si="52" ref="R60:R66">IF(ROUND(Q60+P60,2)&gt;L60,ROUND(Q60+P60,2),ROUND(L60+0.005,2))</f>
        <v>1</v>
      </c>
      <c r="S60" s="139"/>
      <c r="T60" s="141">
        <v>1.43</v>
      </c>
      <c r="U60" s="103">
        <f t="shared" si="46"/>
        <v>-0.42999999999999994</v>
      </c>
    </row>
    <row r="61" spans="1:21" ht="14.25" thickBot="1" thickTop="1">
      <c r="A61" s="20" t="s">
        <v>14</v>
      </c>
      <c r="B61" s="26">
        <f>'CNTNR COST'!G59</f>
        <v>0.4024</v>
      </c>
      <c r="C61" s="25">
        <v>0</v>
      </c>
      <c r="D61" s="25">
        <f>+$D$11</f>
        <v>0.1131</v>
      </c>
      <c r="E61" s="30">
        <f>ENERGY_ADDON</f>
        <v>0</v>
      </c>
      <c r="F61" s="30">
        <f>ROUND(COST_UPDATE_ADJ,4)</f>
        <v>0.0106</v>
      </c>
      <c r="G61" s="25">
        <f t="shared" si="47"/>
        <v>0.5261</v>
      </c>
      <c r="H61" s="25">
        <f t="shared" si="48"/>
        <v>0.01908134715025911</v>
      </c>
      <c r="I61" s="25">
        <f t="shared" si="49"/>
        <v>0.5452</v>
      </c>
      <c r="J61" s="25">
        <f>$J$11</f>
        <v>-0.1305</v>
      </c>
      <c r="K61" s="25">
        <f>$K$11</f>
        <v>0.2437</v>
      </c>
      <c r="L61" s="134">
        <f t="shared" si="45"/>
        <v>0.6584</v>
      </c>
      <c r="M61" s="29">
        <v>0.7293</v>
      </c>
      <c r="N61" s="29">
        <f t="shared" si="50"/>
        <v>0.5794</v>
      </c>
      <c r="O61" s="29">
        <f>INPUT!E$83</f>
        <v>0</v>
      </c>
      <c r="P61" s="101">
        <f aca="true" t="shared" si="53" ref="P61:P67">O61+N61</f>
        <v>0.5794</v>
      </c>
      <c r="Q61" s="29">
        <f t="shared" si="51"/>
        <v>0.0161</v>
      </c>
      <c r="R61" s="137">
        <f t="shared" si="52"/>
        <v>0.66</v>
      </c>
      <c r="S61" s="139"/>
      <c r="T61" s="141">
        <v>0.76</v>
      </c>
      <c r="U61" s="103">
        <f t="shared" si="46"/>
        <v>-0.09999999999999998</v>
      </c>
    </row>
    <row r="62" spans="1:21" ht="14.25" thickBot="1" thickTop="1">
      <c r="A62" s="20" t="s">
        <v>15</v>
      </c>
      <c r="B62" s="26">
        <f>'CNTNR COST'!G60</f>
        <v>0.2012</v>
      </c>
      <c r="C62" s="25">
        <v>0</v>
      </c>
      <c r="D62" s="25">
        <f>+$D$12</f>
        <v>0.1039</v>
      </c>
      <c r="E62" s="30">
        <f>ROUND($E$11/2,4)</f>
        <v>0</v>
      </c>
      <c r="F62" s="30">
        <f>ROUND($F$11/2,4)</f>
        <v>0.0053</v>
      </c>
      <c r="G62" s="25">
        <f t="shared" si="47"/>
        <v>0.3104</v>
      </c>
      <c r="H62" s="25">
        <f t="shared" si="48"/>
        <v>0.011258031088082932</v>
      </c>
      <c r="I62" s="25">
        <f t="shared" si="49"/>
        <v>0.3217</v>
      </c>
      <c r="J62" s="25">
        <f>ROUND(J$11/2,4)</f>
        <v>-0.0653</v>
      </c>
      <c r="K62" s="25">
        <f>ROUND(K$11/2,4)</f>
        <v>0.1219</v>
      </c>
      <c r="L62" s="134">
        <f t="shared" si="45"/>
        <v>0.3783</v>
      </c>
      <c r="M62" s="29">
        <v>0.3965</v>
      </c>
      <c r="N62" s="29">
        <f t="shared" si="50"/>
        <v>0.3329</v>
      </c>
      <c r="O62" s="29">
        <f>INPUT!E$84</f>
        <v>0</v>
      </c>
      <c r="P62" s="101">
        <f t="shared" si="53"/>
        <v>0.3329</v>
      </c>
      <c r="Q62" s="29">
        <f t="shared" si="51"/>
        <v>0.0092</v>
      </c>
      <c r="R62" s="137">
        <f t="shared" si="52"/>
        <v>0.38</v>
      </c>
      <c r="S62" s="139"/>
      <c r="T62" s="141">
        <v>0.41</v>
      </c>
      <c r="U62" s="103">
        <f t="shared" si="46"/>
        <v>-0.02999999999999997</v>
      </c>
    </row>
    <row r="63" spans="1:21" ht="14.25" thickBot="1" thickTop="1">
      <c r="A63" s="20" t="s">
        <v>162</v>
      </c>
      <c r="B63" s="26">
        <f>'CNTNR COST'!G61</f>
        <v>0.3275</v>
      </c>
      <c r="C63" s="25"/>
      <c r="D63" s="29">
        <f>+$D$13</f>
        <v>0.0746</v>
      </c>
      <c r="E63" s="30">
        <f>ROUND($E$11/32*12,4)</f>
        <v>0</v>
      </c>
      <c r="F63" s="30">
        <f>ROUND($F$11/32*12,4)</f>
        <v>0.004</v>
      </c>
      <c r="G63" s="25">
        <f t="shared" si="47"/>
        <v>0.4061</v>
      </c>
      <c r="H63" s="25">
        <f t="shared" si="48"/>
        <v>0.01472901554404149</v>
      </c>
      <c r="I63" s="25">
        <f t="shared" si="49"/>
        <v>0.4208</v>
      </c>
      <c r="J63" s="25">
        <f>ROUND(J61/32*12,4)</f>
        <v>-0.0489</v>
      </c>
      <c r="K63" s="25">
        <f>ROUND(K61/32*12,4)</f>
        <v>0.0914</v>
      </c>
      <c r="L63" s="134">
        <f t="shared" si="45"/>
        <v>0.4633</v>
      </c>
      <c r="M63" s="29"/>
      <c r="N63" s="29">
        <f t="shared" si="50"/>
        <v>0.4077</v>
      </c>
      <c r="O63" s="29">
        <f>INPUT!E$85</f>
        <v>0</v>
      </c>
      <c r="P63" s="101">
        <f t="shared" si="53"/>
        <v>0.4077</v>
      </c>
      <c r="Q63" s="29">
        <f t="shared" si="51"/>
        <v>0.0113</v>
      </c>
      <c r="R63" s="137">
        <f t="shared" si="52"/>
        <v>0.47</v>
      </c>
      <c r="S63" s="139"/>
      <c r="T63" s="141"/>
      <c r="U63" s="103"/>
    </row>
    <row r="64" spans="1:21" ht="14.25" thickBot="1" thickTop="1">
      <c r="A64" s="20" t="s">
        <v>64</v>
      </c>
      <c r="B64" s="26">
        <f>'CNTNR COST'!G62</f>
        <v>0.1802</v>
      </c>
      <c r="C64" s="25">
        <v>0</v>
      </c>
      <c r="D64" s="25">
        <f>+$D$14</f>
        <v>0</v>
      </c>
      <c r="E64" s="30">
        <f>ROUND($E$11/32*10,4)</f>
        <v>0</v>
      </c>
      <c r="F64" s="30">
        <f>ROUND($F$11/32*10,4)</f>
        <v>0.0033</v>
      </c>
      <c r="G64" s="25">
        <f t="shared" si="47"/>
        <v>0.1835</v>
      </c>
      <c r="H64" s="25">
        <f t="shared" si="48"/>
        <v>0.006655440414507774</v>
      </c>
      <c r="I64" s="25">
        <f t="shared" si="49"/>
        <v>0.1902</v>
      </c>
      <c r="J64" s="25">
        <f>ROUND(J$11/3,4)</f>
        <v>-0.0435</v>
      </c>
      <c r="K64" s="25">
        <f>ROUND(K$11/3,4)</f>
        <v>0.0812</v>
      </c>
      <c r="L64" s="134">
        <f t="shared" si="45"/>
        <v>0.2279</v>
      </c>
      <c r="M64" s="29">
        <v>0.2755</v>
      </c>
      <c r="N64" s="29">
        <f t="shared" si="50"/>
        <v>0.2006</v>
      </c>
      <c r="O64" s="29">
        <f>INPUT!E$86</f>
        <v>0</v>
      </c>
      <c r="P64" s="101">
        <f t="shared" si="53"/>
        <v>0.2006</v>
      </c>
      <c r="Q64" s="29">
        <f t="shared" si="51"/>
        <v>0.0056</v>
      </c>
      <c r="R64" s="137">
        <f t="shared" si="52"/>
        <v>0.23</v>
      </c>
      <c r="S64" s="139"/>
      <c r="T64" s="141">
        <v>0.28</v>
      </c>
      <c r="U64" s="103">
        <f t="shared" si="46"/>
        <v>-0.05000000000000002</v>
      </c>
    </row>
    <row r="65" spans="1:21" ht="14.25" thickBot="1" thickTop="1">
      <c r="A65" s="20" t="s">
        <v>65</v>
      </c>
      <c r="B65" s="26">
        <f>'CNTNR COST'!G63</f>
        <v>0.1007</v>
      </c>
      <c r="C65" s="25">
        <v>0</v>
      </c>
      <c r="D65" s="25">
        <f>+$D$15</f>
        <v>0.0231</v>
      </c>
      <c r="E65" s="30">
        <f>ROUND($E$11/4,4)</f>
        <v>0</v>
      </c>
      <c r="F65" s="30">
        <f>ROUND($F$11/4,4)</f>
        <v>0.0027</v>
      </c>
      <c r="G65" s="25">
        <f t="shared" si="47"/>
        <v>0.1265</v>
      </c>
      <c r="H65" s="25">
        <f t="shared" si="48"/>
        <v>0.004588082901554408</v>
      </c>
      <c r="I65" s="25">
        <f t="shared" si="49"/>
        <v>0.1311</v>
      </c>
      <c r="J65" s="25">
        <f>ROUND(J$11/4,4)</f>
        <v>-0.0326</v>
      </c>
      <c r="K65" s="25">
        <f>ROUND(K$11/4,4)</f>
        <v>0.0609</v>
      </c>
      <c r="L65" s="134">
        <f t="shared" si="45"/>
        <v>0.1594</v>
      </c>
      <c r="M65" s="29">
        <v>0.2084</v>
      </c>
      <c r="N65" s="29">
        <f t="shared" si="50"/>
        <v>0.1403</v>
      </c>
      <c r="O65" s="29">
        <f>INPUT!E$87</f>
        <v>0</v>
      </c>
      <c r="P65" s="101">
        <f t="shared" si="53"/>
        <v>0.1403</v>
      </c>
      <c r="Q65" s="29">
        <f t="shared" si="51"/>
        <v>0.0039</v>
      </c>
      <c r="R65" s="137">
        <f t="shared" si="52"/>
        <v>0.16</v>
      </c>
      <c r="S65" s="139"/>
      <c r="T65" s="141">
        <v>0.21</v>
      </c>
      <c r="U65" s="103">
        <f t="shared" si="46"/>
        <v>-0.04999999999999999</v>
      </c>
    </row>
    <row r="66" spans="1:21" ht="14.25" thickBot="1" thickTop="1">
      <c r="A66" s="20" t="s">
        <v>66</v>
      </c>
      <c r="B66" s="26">
        <f>'CNTNR COST'!G64</f>
        <v>0.0862</v>
      </c>
      <c r="C66" s="25">
        <v>0</v>
      </c>
      <c r="D66" s="25">
        <f>+$D$16</f>
        <v>0.0363</v>
      </c>
      <c r="E66" s="30">
        <f>ROUND($E$11/8,4)</f>
        <v>0</v>
      </c>
      <c r="F66" s="30">
        <f>ROUND($F$11/8,4)</f>
        <v>0.0013</v>
      </c>
      <c r="G66" s="25">
        <f t="shared" si="47"/>
        <v>0.1238</v>
      </c>
      <c r="H66" s="25">
        <f t="shared" si="48"/>
        <v>0.004490155440414506</v>
      </c>
      <c r="I66" s="25">
        <f t="shared" si="49"/>
        <v>0.1283</v>
      </c>
      <c r="J66" s="25">
        <f>ROUND(J$11/8,4)</f>
        <v>-0.0163</v>
      </c>
      <c r="K66" s="25">
        <f>ROUND(K$11/8,4)</f>
        <v>0.0305</v>
      </c>
      <c r="L66" s="134">
        <f t="shared" si="45"/>
        <v>0.1425</v>
      </c>
      <c r="M66" s="29">
        <v>0.1217</v>
      </c>
      <c r="N66" s="29">
        <f t="shared" si="50"/>
        <v>0.1254</v>
      </c>
      <c r="O66" s="29">
        <f>INPUT!E$88</f>
        <v>0</v>
      </c>
      <c r="P66" s="101">
        <f t="shared" si="53"/>
        <v>0.1254</v>
      </c>
      <c r="Q66" s="29">
        <f t="shared" si="51"/>
        <v>0.0035</v>
      </c>
      <c r="R66" s="137">
        <f t="shared" si="52"/>
        <v>0.15</v>
      </c>
      <c r="S66" s="139"/>
      <c r="T66" s="141">
        <v>0.13</v>
      </c>
      <c r="U66" s="103">
        <f t="shared" si="46"/>
        <v>0.01999999999999999</v>
      </c>
    </row>
    <row r="67" spans="1:21" ht="14.25" thickBot="1" thickTop="1">
      <c r="A67" s="20" t="s">
        <v>94</v>
      </c>
      <c r="B67" s="35">
        <f>'CNTNR COST'!G65</f>
        <v>0.5063</v>
      </c>
      <c r="C67" s="36">
        <v>0</v>
      </c>
      <c r="D67" s="36">
        <f>+$D$17</f>
        <v>0.1316</v>
      </c>
      <c r="E67" s="39">
        <f>ROUND($E$11,4)</f>
        <v>0</v>
      </c>
      <c r="F67" s="39">
        <f>ROUND($F$11,4)</f>
        <v>0.0106</v>
      </c>
      <c r="G67" s="36">
        <f t="shared" si="47"/>
        <v>0.6485</v>
      </c>
      <c r="H67" s="36">
        <f t="shared" si="48"/>
        <v>0.02352072538860106</v>
      </c>
      <c r="I67" s="36">
        <f t="shared" si="49"/>
        <v>0.672</v>
      </c>
      <c r="J67" s="36">
        <f>J$11</f>
        <v>-0.1305</v>
      </c>
      <c r="K67" s="36">
        <f>K$11</f>
        <v>0.2437</v>
      </c>
      <c r="L67" s="135">
        <f t="shared" si="45"/>
        <v>0.7852</v>
      </c>
      <c r="M67" s="41">
        <v>0.7158</v>
      </c>
      <c r="N67" s="41">
        <f t="shared" si="50"/>
        <v>0.691</v>
      </c>
      <c r="O67" s="41">
        <f>INPUT!E$89</f>
        <v>0</v>
      </c>
      <c r="P67" s="41">
        <f t="shared" si="53"/>
        <v>0.691</v>
      </c>
      <c r="Q67" s="41">
        <f t="shared" si="51"/>
        <v>0.0192</v>
      </c>
      <c r="R67" s="138">
        <f>IF(ROUND(Q67+P67,2)&gt;L67,ROUND(Q67+P67,2),ROUND(L67+0.005,2))</f>
        <v>0.79</v>
      </c>
      <c r="S67" s="139"/>
      <c r="T67" s="142">
        <v>0.74</v>
      </c>
      <c r="U67" s="104">
        <f t="shared" si="46"/>
        <v>0.050000000000000044</v>
      </c>
    </row>
    <row r="68" spans="1:21" ht="14.25" thickBot="1" thickTop="1">
      <c r="A68" s="20" t="s">
        <v>50</v>
      </c>
      <c r="L68" s="42"/>
      <c r="M68" s="42"/>
      <c r="N68" s="42"/>
      <c r="O68" s="42"/>
      <c r="P68" s="42"/>
      <c r="Q68" s="42"/>
      <c r="R68" s="139"/>
      <c r="S68" s="139"/>
      <c r="T68" s="139"/>
      <c r="U68" s="197"/>
    </row>
    <row r="69" spans="1:21" ht="14.25" thickBot="1" thickTop="1">
      <c r="A69" s="20" t="s">
        <v>12</v>
      </c>
      <c r="B69" s="34">
        <f>'CNTNR COST'!G67</f>
        <v>1.6096</v>
      </c>
      <c r="C69" s="24">
        <v>0</v>
      </c>
      <c r="D69" s="24">
        <f>+$D$9</f>
        <v>-0.1217</v>
      </c>
      <c r="E69" s="38">
        <f>ROUND($E$11*4,4)</f>
        <v>0</v>
      </c>
      <c r="F69" s="38">
        <f>ROUND($F$11*4,4)</f>
        <v>0.0424</v>
      </c>
      <c r="G69" s="24">
        <f>ROUND(SUM(B69:F69),4)</f>
        <v>1.5303</v>
      </c>
      <c r="H69" s="24">
        <f>(G69/(1-$H$5))-G69</f>
        <v>0.055503108808290236</v>
      </c>
      <c r="I69" s="24">
        <f>ROUND(G69+H69,4)</f>
        <v>1.5858</v>
      </c>
      <c r="J69" s="24">
        <f>ROUND(J$11*4,4)</f>
        <v>-0.522</v>
      </c>
      <c r="K69" s="24">
        <f>ROUND(K$11*4,4)</f>
        <v>0.9748</v>
      </c>
      <c r="L69" s="133">
        <f aca="true" t="shared" si="54" ref="L69:L77">ROUND(SUM(I69:K69),4)</f>
        <v>2.0386</v>
      </c>
      <c r="M69" s="40">
        <v>2.6418</v>
      </c>
      <c r="N69" s="40">
        <f>ROUND(L69-(L69*WHSLE_DISCNT),4)</f>
        <v>1.794</v>
      </c>
      <c r="O69" s="40">
        <f>INPUT!E$81</f>
        <v>0</v>
      </c>
      <c r="P69" s="100">
        <f>N69+O69</f>
        <v>1.794</v>
      </c>
      <c r="Q69" s="40">
        <f>ROUND(P69/(1-RETAIL_PRFT)-P69,4)</f>
        <v>0.0498</v>
      </c>
      <c r="R69" s="136">
        <f>IF(ROUND(Q69+P69,2)&gt;L69,ROUND(Q69+P69,2),ROUND(L69+0.005,2))</f>
        <v>2.04</v>
      </c>
      <c r="S69" s="139"/>
      <c r="T69" s="140">
        <v>2.78</v>
      </c>
      <c r="U69" s="197"/>
    </row>
    <row r="70" spans="1:21" ht="14.25" thickBot="1" thickTop="1">
      <c r="A70" s="20" t="s">
        <v>63</v>
      </c>
      <c r="B70" s="26">
        <f>'CNTNR COST'!G68</f>
        <v>0.8048</v>
      </c>
      <c r="C70" s="25">
        <v>0</v>
      </c>
      <c r="D70" s="25">
        <f>+$D$10</f>
        <v>-0.0867</v>
      </c>
      <c r="E70" s="30">
        <f>ROUND($E$11*2,4)</f>
        <v>0</v>
      </c>
      <c r="F70" s="30">
        <f>ROUND($F$11*2,4)</f>
        <v>0.0212</v>
      </c>
      <c r="G70" s="25">
        <f aca="true" t="shared" si="55" ref="G70:G77">ROUND(SUM(B70:F70),4)</f>
        <v>0.7393</v>
      </c>
      <c r="H70" s="25">
        <f aca="true" t="shared" si="56" ref="H70:H77">(G70/(1-$H$5))-G70</f>
        <v>0.026813989637305746</v>
      </c>
      <c r="I70" s="25">
        <f aca="true" t="shared" si="57" ref="I70:I77">ROUND(G70+H70,4)</f>
        <v>0.7661</v>
      </c>
      <c r="J70" s="25">
        <f>ROUND(J$11*2,4)</f>
        <v>-0.261</v>
      </c>
      <c r="K70" s="25">
        <f>ROUND(K$11*2,4)</f>
        <v>0.4874</v>
      </c>
      <c r="L70" s="134">
        <f t="shared" si="54"/>
        <v>0.9925</v>
      </c>
      <c r="M70" s="29">
        <v>1.3662</v>
      </c>
      <c r="N70" s="29">
        <f aca="true" t="shared" si="58" ref="N70:N77">ROUND(L70-(L70*WHSLE_DISCNT),4)</f>
        <v>0.8734</v>
      </c>
      <c r="O70" s="29">
        <f>INPUT!E$82</f>
        <v>0</v>
      </c>
      <c r="P70" s="101">
        <f>O70+N70</f>
        <v>0.8734</v>
      </c>
      <c r="Q70" s="29">
        <f aca="true" t="shared" si="59" ref="Q70:Q77">ROUND(P70/(1-RETAIL_PRFT)-P70,4)</f>
        <v>0.0242</v>
      </c>
      <c r="R70" s="137">
        <f aca="true" t="shared" si="60" ref="R70:R76">IF(ROUND(Q70+P70,2)&gt;L70,ROUND(Q70+P70,2),ROUND(L70+0.005,2))</f>
        <v>1</v>
      </c>
      <c r="S70" s="139"/>
      <c r="T70" s="141">
        <v>1.43</v>
      </c>
      <c r="U70" s="197"/>
    </row>
    <row r="71" spans="1:21" ht="14.25" thickBot="1" thickTop="1">
      <c r="A71" s="20" t="s">
        <v>14</v>
      </c>
      <c r="B71" s="26">
        <f>'CNTNR COST'!G69</f>
        <v>0.4024</v>
      </c>
      <c r="C71" s="25">
        <v>0</v>
      </c>
      <c r="D71" s="25">
        <f>+$D$11</f>
        <v>0.1131</v>
      </c>
      <c r="E71" s="30">
        <f>ENERGY_ADDON</f>
        <v>0</v>
      </c>
      <c r="F71" s="30">
        <f>ROUND(COST_UPDATE_ADJ,4)</f>
        <v>0.0106</v>
      </c>
      <c r="G71" s="25">
        <f t="shared" si="55"/>
        <v>0.5261</v>
      </c>
      <c r="H71" s="25">
        <f t="shared" si="56"/>
        <v>0.01908134715025911</v>
      </c>
      <c r="I71" s="25">
        <f t="shared" si="57"/>
        <v>0.5452</v>
      </c>
      <c r="J71" s="25">
        <f>$J$11</f>
        <v>-0.1305</v>
      </c>
      <c r="K71" s="25">
        <f>$K$11</f>
        <v>0.2437</v>
      </c>
      <c r="L71" s="134">
        <f t="shared" si="54"/>
        <v>0.6584</v>
      </c>
      <c r="M71" s="29">
        <v>0.7293</v>
      </c>
      <c r="N71" s="29">
        <f t="shared" si="58"/>
        <v>0.5794</v>
      </c>
      <c r="O71" s="29">
        <f>INPUT!E$83</f>
        <v>0</v>
      </c>
      <c r="P71" s="101">
        <f aca="true" t="shared" si="61" ref="P71:P77">O71+N71</f>
        <v>0.5794</v>
      </c>
      <c r="Q71" s="29">
        <f t="shared" si="59"/>
        <v>0.0161</v>
      </c>
      <c r="R71" s="137">
        <f t="shared" si="60"/>
        <v>0.66</v>
      </c>
      <c r="S71" s="139"/>
      <c r="T71" s="141">
        <v>0.76</v>
      </c>
      <c r="U71" s="197"/>
    </row>
    <row r="72" spans="1:21" ht="14.25" thickBot="1" thickTop="1">
      <c r="A72" s="20" t="s">
        <v>15</v>
      </c>
      <c r="B72" s="26">
        <f>'CNTNR COST'!G70</f>
        <v>0.2012</v>
      </c>
      <c r="C72" s="25">
        <v>0</v>
      </c>
      <c r="D72" s="25">
        <f>+$D$12</f>
        <v>0.1039</v>
      </c>
      <c r="E72" s="30">
        <f>ROUND($E$11/2,4)</f>
        <v>0</v>
      </c>
      <c r="F72" s="30">
        <f>ROUND($F$11/2,4)</f>
        <v>0.0053</v>
      </c>
      <c r="G72" s="25">
        <f t="shared" si="55"/>
        <v>0.3104</v>
      </c>
      <c r="H72" s="25">
        <f t="shared" si="56"/>
        <v>0.011258031088082932</v>
      </c>
      <c r="I72" s="25">
        <f t="shared" si="57"/>
        <v>0.3217</v>
      </c>
      <c r="J72" s="25">
        <f>ROUND(J$11/2,4)</f>
        <v>-0.0653</v>
      </c>
      <c r="K72" s="25">
        <f>ROUND(K$11/2,4)</f>
        <v>0.1219</v>
      </c>
      <c r="L72" s="134">
        <f t="shared" si="54"/>
        <v>0.3783</v>
      </c>
      <c r="M72" s="29">
        <v>0.3965</v>
      </c>
      <c r="N72" s="29">
        <f t="shared" si="58"/>
        <v>0.3329</v>
      </c>
      <c r="O72" s="29">
        <f>INPUT!E$84</f>
        <v>0</v>
      </c>
      <c r="P72" s="101">
        <f t="shared" si="61"/>
        <v>0.3329</v>
      </c>
      <c r="Q72" s="29">
        <f t="shared" si="59"/>
        <v>0.0092</v>
      </c>
      <c r="R72" s="137">
        <f t="shared" si="60"/>
        <v>0.38</v>
      </c>
      <c r="S72" s="139"/>
      <c r="T72" s="141">
        <v>0.41</v>
      </c>
      <c r="U72" s="197"/>
    </row>
    <row r="73" spans="1:21" ht="14.25" thickBot="1" thickTop="1">
      <c r="A73" s="20" t="s">
        <v>162</v>
      </c>
      <c r="B73" s="26">
        <f>'CNTNR COST'!G71</f>
        <v>0.3275</v>
      </c>
      <c r="C73" s="25"/>
      <c r="D73" s="29">
        <f>+$D$13</f>
        <v>0.0746</v>
      </c>
      <c r="E73" s="30">
        <f>ROUND($E$11/32*12,4)</f>
        <v>0</v>
      </c>
      <c r="F73" s="30">
        <f>ROUND($F$11/32*12,4)</f>
        <v>0.004</v>
      </c>
      <c r="G73" s="25">
        <f t="shared" si="55"/>
        <v>0.4061</v>
      </c>
      <c r="H73" s="25">
        <f t="shared" si="56"/>
        <v>0.01472901554404149</v>
      </c>
      <c r="I73" s="25">
        <f t="shared" si="57"/>
        <v>0.4208</v>
      </c>
      <c r="J73" s="25">
        <f>ROUND(J71/32*12,4)</f>
        <v>-0.0489</v>
      </c>
      <c r="K73" s="25">
        <f>ROUND(K71/32*12,4)</f>
        <v>0.0914</v>
      </c>
      <c r="L73" s="134">
        <f t="shared" si="54"/>
        <v>0.4633</v>
      </c>
      <c r="M73" s="29"/>
      <c r="N73" s="29">
        <f t="shared" si="58"/>
        <v>0.4077</v>
      </c>
      <c r="O73" s="29">
        <f>INPUT!E$85</f>
        <v>0</v>
      </c>
      <c r="P73" s="101">
        <f t="shared" si="61"/>
        <v>0.4077</v>
      </c>
      <c r="Q73" s="29">
        <f t="shared" si="59"/>
        <v>0.0113</v>
      </c>
      <c r="R73" s="137">
        <f t="shared" si="60"/>
        <v>0.47</v>
      </c>
      <c r="S73" s="139"/>
      <c r="T73" s="141"/>
      <c r="U73" s="197"/>
    </row>
    <row r="74" spans="1:21" ht="14.25" thickBot="1" thickTop="1">
      <c r="A74" s="20" t="s">
        <v>64</v>
      </c>
      <c r="B74" s="26">
        <f>'CNTNR COST'!G72</f>
        <v>0.1802</v>
      </c>
      <c r="C74" s="25">
        <v>0</v>
      </c>
      <c r="D74" s="25">
        <f>+$D$14</f>
        <v>0</v>
      </c>
      <c r="E74" s="30">
        <f>ROUND($E$11/32*10,4)</f>
        <v>0</v>
      </c>
      <c r="F74" s="30">
        <f>ROUND($F$11/32*10,4)</f>
        <v>0.0033</v>
      </c>
      <c r="G74" s="25">
        <f t="shared" si="55"/>
        <v>0.1835</v>
      </c>
      <c r="H74" s="25">
        <f t="shared" si="56"/>
        <v>0.006655440414507774</v>
      </c>
      <c r="I74" s="25">
        <f t="shared" si="57"/>
        <v>0.1902</v>
      </c>
      <c r="J74" s="25">
        <f>ROUND(J$11/3,4)</f>
        <v>-0.0435</v>
      </c>
      <c r="K74" s="25">
        <f>ROUND(K$11/3,4)</f>
        <v>0.0812</v>
      </c>
      <c r="L74" s="134">
        <f t="shared" si="54"/>
        <v>0.2279</v>
      </c>
      <c r="M74" s="29">
        <v>0.2755</v>
      </c>
      <c r="N74" s="29">
        <f t="shared" si="58"/>
        <v>0.2006</v>
      </c>
      <c r="O74" s="29">
        <f>INPUT!E$86</f>
        <v>0</v>
      </c>
      <c r="P74" s="101">
        <f t="shared" si="61"/>
        <v>0.2006</v>
      </c>
      <c r="Q74" s="29">
        <f t="shared" si="59"/>
        <v>0.0056</v>
      </c>
      <c r="R74" s="137">
        <f t="shared" si="60"/>
        <v>0.23</v>
      </c>
      <c r="S74" s="139"/>
      <c r="T74" s="141">
        <v>0.28</v>
      </c>
      <c r="U74" s="197"/>
    </row>
    <row r="75" spans="1:21" ht="14.25" thickBot="1" thickTop="1">
      <c r="A75" s="20" t="s">
        <v>65</v>
      </c>
      <c r="B75" s="26">
        <f>'CNTNR COST'!G73</f>
        <v>0.1007</v>
      </c>
      <c r="C75" s="25">
        <v>0</v>
      </c>
      <c r="D75" s="25">
        <f>+$D$15</f>
        <v>0.0231</v>
      </c>
      <c r="E75" s="30">
        <f>ROUND($E$11/4,4)</f>
        <v>0</v>
      </c>
      <c r="F75" s="30">
        <f>ROUND($F$11/4,4)</f>
        <v>0.0027</v>
      </c>
      <c r="G75" s="25">
        <f t="shared" si="55"/>
        <v>0.1265</v>
      </c>
      <c r="H75" s="25">
        <f t="shared" si="56"/>
        <v>0.004588082901554408</v>
      </c>
      <c r="I75" s="25">
        <f t="shared" si="57"/>
        <v>0.1311</v>
      </c>
      <c r="J75" s="25">
        <f>ROUND(J$11/4,4)</f>
        <v>-0.0326</v>
      </c>
      <c r="K75" s="25">
        <f>ROUND(K$11/4,4)</f>
        <v>0.0609</v>
      </c>
      <c r="L75" s="134">
        <f t="shared" si="54"/>
        <v>0.1594</v>
      </c>
      <c r="M75" s="29">
        <v>0.2084</v>
      </c>
      <c r="N75" s="29">
        <f t="shared" si="58"/>
        <v>0.1403</v>
      </c>
      <c r="O75" s="29">
        <f>INPUT!E$87</f>
        <v>0</v>
      </c>
      <c r="P75" s="101">
        <f t="shared" si="61"/>
        <v>0.1403</v>
      </c>
      <c r="Q75" s="29">
        <f t="shared" si="59"/>
        <v>0.0039</v>
      </c>
      <c r="R75" s="137">
        <f t="shared" si="60"/>
        <v>0.16</v>
      </c>
      <c r="S75" s="139"/>
      <c r="T75" s="141">
        <v>0.21</v>
      </c>
      <c r="U75" s="197"/>
    </row>
    <row r="76" spans="1:21" ht="14.25" thickBot="1" thickTop="1">
      <c r="A76" s="20" t="s">
        <v>66</v>
      </c>
      <c r="B76" s="26">
        <f>'CNTNR COST'!G74</f>
        <v>0.0862</v>
      </c>
      <c r="C76" s="25">
        <v>0</v>
      </c>
      <c r="D76" s="25">
        <f>+$D$16</f>
        <v>0.0363</v>
      </c>
      <c r="E76" s="30">
        <f>ROUND($E$11/8,4)</f>
        <v>0</v>
      </c>
      <c r="F76" s="30">
        <f>ROUND($F$11/8,4)</f>
        <v>0.0013</v>
      </c>
      <c r="G76" s="25">
        <f t="shared" si="55"/>
        <v>0.1238</v>
      </c>
      <c r="H76" s="25">
        <f t="shared" si="56"/>
        <v>0.004490155440414506</v>
      </c>
      <c r="I76" s="25">
        <f t="shared" si="57"/>
        <v>0.1283</v>
      </c>
      <c r="J76" s="25">
        <f>ROUND(J$11/8,4)</f>
        <v>-0.0163</v>
      </c>
      <c r="K76" s="25">
        <f>ROUND(K$11/8,4)</f>
        <v>0.0305</v>
      </c>
      <c r="L76" s="134">
        <f t="shared" si="54"/>
        <v>0.1425</v>
      </c>
      <c r="M76" s="29">
        <v>0.1217</v>
      </c>
      <c r="N76" s="29">
        <f t="shared" si="58"/>
        <v>0.1254</v>
      </c>
      <c r="O76" s="29">
        <f>INPUT!E$88</f>
        <v>0</v>
      </c>
      <c r="P76" s="101">
        <f t="shared" si="61"/>
        <v>0.1254</v>
      </c>
      <c r="Q76" s="29">
        <f t="shared" si="59"/>
        <v>0.0035</v>
      </c>
      <c r="R76" s="137">
        <f t="shared" si="60"/>
        <v>0.15</v>
      </c>
      <c r="S76" s="139"/>
      <c r="T76" s="141">
        <v>0.13</v>
      </c>
      <c r="U76" s="197"/>
    </row>
    <row r="77" spans="1:21" ht="14.25" thickBot="1" thickTop="1">
      <c r="A77" s="20" t="s">
        <v>94</v>
      </c>
      <c r="B77" s="35">
        <f>'CNTNR COST'!G75</f>
        <v>0.5063</v>
      </c>
      <c r="C77" s="36">
        <v>0</v>
      </c>
      <c r="D77" s="36">
        <f>+$D$17</f>
        <v>0.1316</v>
      </c>
      <c r="E77" s="39">
        <f>ROUND($E$11,4)</f>
        <v>0</v>
      </c>
      <c r="F77" s="39">
        <f>ROUND($F$11,4)</f>
        <v>0.0106</v>
      </c>
      <c r="G77" s="36">
        <f t="shared" si="55"/>
        <v>0.6485</v>
      </c>
      <c r="H77" s="36">
        <f t="shared" si="56"/>
        <v>0.02352072538860106</v>
      </c>
      <c r="I77" s="36">
        <f t="shared" si="57"/>
        <v>0.672</v>
      </c>
      <c r="J77" s="36">
        <f>J$11</f>
        <v>-0.1305</v>
      </c>
      <c r="K77" s="36">
        <f>K$11</f>
        <v>0.2437</v>
      </c>
      <c r="L77" s="135">
        <f t="shared" si="54"/>
        <v>0.7852</v>
      </c>
      <c r="M77" s="41">
        <v>0.7158</v>
      </c>
      <c r="N77" s="41">
        <f t="shared" si="58"/>
        <v>0.691</v>
      </c>
      <c r="O77" s="41">
        <f>INPUT!E$89</f>
        <v>0</v>
      </c>
      <c r="P77" s="41">
        <f t="shared" si="61"/>
        <v>0.691</v>
      </c>
      <c r="Q77" s="41">
        <f t="shared" si="59"/>
        <v>0.0192</v>
      </c>
      <c r="R77" s="138">
        <f>IF(ROUND(Q77+P77,2)&gt;L77,ROUND(Q77+P77,2),ROUND(L77+0.005,2))</f>
        <v>0.79</v>
      </c>
      <c r="S77" s="139"/>
      <c r="T77" s="142">
        <v>0.74</v>
      </c>
      <c r="U77" s="197"/>
    </row>
    <row r="78" spans="1:20" ht="14.25" thickBot="1" thickTop="1">
      <c r="A78" s="37" t="s">
        <v>27</v>
      </c>
      <c r="L78" s="42"/>
      <c r="M78" s="42"/>
      <c r="N78" s="42"/>
      <c r="O78" s="42"/>
      <c r="P78" s="42"/>
      <c r="Q78" s="42"/>
      <c r="R78" s="139"/>
      <c r="S78" s="139"/>
      <c r="T78" s="139"/>
    </row>
    <row r="79" spans="1:21" ht="14.25" thickBot="1" thickTop="1">
      <c r="A79" s="20" t="s">
        <v>12</v>
      </c>
      <c r="B79" s="34">
        <f>'CNTNR COST'!G77</f>
        <v>1.9849</v>
      </c>
      <c r="C79" s="24">
        <v>0</v>
      </c>
      <c r="D79" s="24">
        <f>+$D$9</f>
        <v>-0.1217</v>
      </c>
      <c r="E79" s="38">
        <f>ROUND($E$11*4,4)</f>
        <v>0</v>
      </c>
      <c r="F79" s="38">
        <f>ROUND($F$11*4,4)</f>
        <v>0.0424</v>
      </c>
      <c r="G79" s="24">
        <f aca="true" t="shared" si="62" ref="G79:G87">ROUND(SUM(B79:F79),4)</f>
        <v>1.9056</v>
      </c>
      <c r="H79" s="24">
        <f>(G79/(1-$H$5))-G79</f>
        <v>0.0691150259067359</v>
      </c>
      <c r="I79" s="24">
        <f aca="true" t="shared" si="63" ref="I79:I87">ROUND(G79+H79,4)</f>
        <v>1.9747</v>
      </c>
      <c r="J79" s="24">
        <f>ROUND(J$11*4,4)</f>
        <v>-0.522</v>
      </c>
      <c r="K79" s="24">
        <f>ROUND(K$11*4,4)</f>
        <v>0.9748</v>
      </c>
      <c r="L79" s="133">
        <f aca="true" t="shared" si="64" ref="L79:L87">ROUND(SUM(I79:K79),4)</f>
        <v>2.4275</v>
      </c>
      <c r="M79" s="40">
        <v>2.7515</v>
      </c>
      <c r="N79" s="40">
        <f>ROUND(L79-(L79*WHSLE_DISCNT),4)</f>
        <v>2.1362</v>
      </c>
      <c r="O79" s="40">
        <f>INPUT!E$81</f>
        <v>0</v>
      </c>
      <c r="P79" s="100">
        <f>N79+O79</f>
        <v>2.1362</v>
      </c>
      <c r="Q79" s="40">
        <f>ROUND(P79/(1-RETAIL_PRFT)-P79,4)</f>
        <v>0.0593</v>
      </c>
      <c r="R79" s="136">
        <f>IF(ROUND(Q79+P79,2)&gt;L79,ROUND(Q79+P79,2),ROUND(L79+0.005,2))</f>
        <v>2.43</v>
      </c>
      <c r="S79" s="139"/>
      <c r="T79" s="140">
        <v>2.88</v>
      </c>
      <c r="U79" s="102">
        <f aca="true" t="shared" si="65" ref="U79:U87">R79-T79</f>
        <v>-0.44999999999999973</v>
      </c>
    </row>
    <row r="80" spans="1:21" ht="14.25" thickBot="1" thickTop="1">
      <c r="A80" s="20" t="s">
        <v>63</v>
      </c>
      <c r="B80" s="26">
        <f>'CNTNR COST'!G78</f>
        <v>0.9924</v>
      </c>
      <c r="C80" s="25">
        <v>0</v>
      </c>
      <c r="D80" s="25">
        <f>+$D$10</f>
        <v>-0.0867</v>
      </c>
      <c r="E80" s="30">
        <f>ROUND($E$11*2,4)</f>
        <v>0</v>
      </c>
      <c r="F80" s="30">
        <f>ROUND($F$11*2,4)</f>
        <v>0.0212</v>
      </c>
      <c r="G80" s="25">
        <f t="shared" si="62"/>
        <v>0.9269</v>
      </c>
      <c r="H80" s="25">
        <f aca="true" t="shared" si="66" ref="H80:H145">(G80/(1-$H$5))-G80</f>
        <v>0.03361813471502595</v>
      </c>
      <c r="I80" s="25">
        <f t="shared" si="63"/>
        <v>0.9605</v>
      </c>
      <c r="J80" s="25">
        <f>ROUND(J$11*2,4)</f>
        <v>-0.261</v>
      </c>
      <c r="K80" s="25">
        <f>ROUND(K$11*2,4)</f>
        <v>0.4874</v>
      </c>
      <c r="L80" s="134">
        <f t="shared" si="64"/>
        <v>1.1869</v>
      </c>
      <c r="M80" s="29">
        <v>1.421</v>
      </c>
      <c r="N80" s="29">
        <f aca="true" t="shared" si="67" ref="N80:N145">ROUND(L80-(L80*WHSLE_DISCNT),4)</f>
        <v>1.0445</v>
      </c>
      <c r="O80" s="29">
        <f>INPUT!E$82</f>
        <v>0</v>
      </c>
      <c r="P80" s="101">
        <f>O80+N80</f>
        <v>1.0445</v>
      </c>
      <c r="Q80" s="29">
        <f aca="true" t="shared" si="68" ref="Q80:Q87">ROUND(P80/(1-RETAIL_PRFT)-P80,4)</f>
        <v>0.029</v>
      </c>
      <c r="R80" s="137">
        <f aca="true" t="shared" si="69" ref="R80:R86">IF(ROUND(Q80+P80,2)&gt;L80,ROUND(Q80+P80,2),ROUND(L80+0.005,2))</f>
        <v>1.19</v>
      </c>
      <c r="S80" s="139"/>
      <c r="T80" s="141">
        <v>1.48</v>
      </c>
      <c r="U80" s="103">
        <f t="shared" si="65"/>
        <v>-0.29000000000000004</v>
      </c>
    </row>
    <row r="81" spans="1:21" ht="14.25" thickBot="1" thickTop="1">
      <c r="A81" s="20" t="s">
        <v>14</v>
      </c>
      <c r="B81" s="26">
        <f>'CNTNR COST'!G79</f>
        <v>0.4962</v>
      </c>
      <c r="C81" s="25">
        <v>0</v>
      </c>
      <c r="D81" s="25">
        <f>+$D$11</f>
        <v>0.1131</v>
      </c>
      <c r="E81" s="30">
        <f>ENERGY_ADDON</f>
        <v>0</v>
      </c>
      <c r="F81" s="30">
        <f>ROUND(COST_UPDATE_ADJ,4)</f>
        <v>0.0106</v>
      </c>
      <c r="G81" s="25">
        <f t="shared" si="62"/>
        <v>0.6199</v>
      </c>
      <c r="H81" s="25">
        <f t="shared" si="66"/>
        <v>0.022483419689119155</v>
      </c>
      <c r="I81" s="25">
        <f t="shared" si="63"/>
        <v>0.6424</v>
      </c>
      <c r="J81" s="25">
        <f>$J$11</f>
        <v>-0.1305</v>
      </c>
      <c r="K81" s="25">
        <f>$K$11</f>
        <v>0.2437</v>
      </c>
      <c r="L81" s="134">
        <f t="shared" si="64"/>
        <v>0.7556</v>
      </c>
      <c r="M81" s="29">
        <v>0.7567</v>
      </c>
      <c r="N81" s="29">
        <f t="shared" si="67"/>
        <v>0.6649</v>
      </c>
      <c r="O81" s="29">
        <f>INPUT!E$83</f>
        <v>0</v>
      </c>
      <c r="P81" s="101">
        <f aca="true" t="shared" si="70" ref="P81:P87">O81+N81</f>
        <v>0.6649</v>
      </c>
      <c r="Q81" s="29">
        <f t="shared" si="68"/>
        <v>0.0185</v>
      </c>
      <c r="R81" s="137">
        <f t="shared" si="69"/>
        <v>0.76</v>
      </c>
      <c r="S81" s="139"/>
      <c r="T81" s="141">
        <v>0.78</v>
      </c>
      <c r="U81" s="103">
        <f t="shared" si="65"/>
        <v>-0.020000000000000018</v>
      </c>
    </row>
    <row r="82" spans="1:21" ht="14.25" thickBot="1" thickTop="1">
      <c r="A82" s="20" t="s">
        <v>15</v>
      </c>
      <c r="B82" s="26">
        <f>'CNTNR COST'!G80</f>
        <v>0.2481</v>
      </c>
      <c r="C82" s="25">
        <v>0</v>
      </c>
      <c r="D82" s="25">
        <f>+$D$12</f>
        <v>0.1039</v>
      </c>
      <c r="E82" s="30">
        <f>ROUND($E$11/2,4)</f>
        <v>0</v>
      </c>
      <c r="F82" s="30">
        <f>ROUND($F$11/2,4)</f>
        <v>0.0053</v>
      </c>
      <c r="G82" s="25">
        <f t="shared" si="62"/>
        <v>0.3573</v>
      </c>
      <c r="H82" s="25">
        <f t="shared" si="66"/>
        <v>0.012959067357512954</v>
      </c>
      <c r="I82" s="25">
        <f t="shared" si="63"/>
        <v>0.3703</v>
      </c>
      <c r="J82" s="25">
        <f>ROUND(J$11/2,4)</f>
        <v>-0.0653</v>
      </c>
      <c r="K82" s="25">
        <f>ROUND(K$11/2,4)</f>
        <v>0.1219</v>
      </c>
      <c r="L82" s="134">
        <f t="shared" si="64"/>
        <v>0.4269</v>
      </c>
      <c r="M82" s="29">
        <v>0.4103</v>
      </c>
      <c r="N82" s="29">
        <f t="shared" si="67"/>
        <v>0.3757</v>
      </c>
      <c r="O82" s="29">
        <f>INPUT!E$84</f>
        <v>0</v>
      </c>
      <c r="P82" s="101">
        <f t="shared" si="70"/>
        <v>0.3757</v>
      </c>
      <c r="Q82" s="29">
        <f t="shared" si="68"/>
        <v>0.0104</v>
      </c>
      <c r="R82" s="137">
        <f t="shared" si="69"/>
        <v>0.43</v>
      </c>
      <c r="S82" s="139"/>
      <c r="T82" s="141">
        <v>0.42</v>
      </c>
      <c r="U82" s="103">
        <f t="shared" si="65"/>
        <v>0.010000000000000009</v>
      </c>
    </row>
    <row r="83" spans="1:21" ht="14.25" thickBot="1" thickTop="1">
      <c r="A83" s="20" t="s">
        <v>162</v>
      </c>
      <c r="B83" s="26">
        <f>'CNTNR COST'!G81</f>
        <v>0.3627</v>
      </c>
      <c r="C83" s="25"/>
      <c r="D83" s="29">
        <f>+$D$13</f>
        <v>0.0746</v>
      </c>
      <c r="E83" s="30">
        <f>ROUND($E$11/32*12,4)</f>
        <v>0</v>
      </c>
      <c r="F83" s="30">
        <f>ROUND($F$11/32*12,4)</f>
        <v>0.004</v>
      </c>
      <c r="G83" s="25">
        <f t="shared" si="62"/>
        <v>0.4413</v>
      </c>
      <c r="H83" s="25">
        <f t="shared" si="66"/>
        <v>0.01600569948186531</v>
      </c>
      <c r="I83" s="25">
        <f t="shared" si="63"/>
        <v>0.4573</v>
      </c>
      <c r="J83" s="25">
        <f>ROUND(J81/32*12,4)</f>
        <v>-0.0489</v>
      </c>
      <c r="K83" s="25">
        <f>ROUND(K81/32*12,4)</f>
        <v>0.0914</v>
      </c>
      <c r="L83" s="134">
        <f t="shared" si="64"/>
        <v>0.4998</v>
      </c>
      <c r="M83" s="29"/>
      <c r="N83" s="29">
        <f t="shared" si="67"/>
        <v>0.4398</v>
      </c>
      <c r="O83" s="29">
        <f>INPUT!E$85</f>
        <v>0</v>
      </c>
      <c r="P83" s="101">
        <f t="shared" si="70"/>
        <v>0.4398</v>
      </c>
      <c r="Q83" s="29">
        <f t="shared" si="68"/>
        <v>0.0122</v>
      </c>
      <c r="R83" s="137">
        <f t="shared" si="69"/>
        <v>0.5</v>
      </c>
      <c r="S83" s="139"/>
      <c r="T83" s="141"/>
      <c r="U83" s="103"/>
    </row>
    <row r="84" spans="1:21" ht="14.25" thickBot="1" thickTop="1">
      <c r="A84" s="20" t="s">
        <v>64</v>
      </c>
      <c r="B84" s="26">
        <f>'CNTNR COST'!G82</f>
        <v>0.2095</v>
      </c>
      <c r="C84" s="25">
        <v>0</v>
      </c>
      <c r="D84" s="25">
        <f>+$D$14</f>
        <v>0</v>
      </c>
      <c r="E84" s="30">
        <f>ROUND($E$11/32*10,4)</f>
        <v>0</v>
      </c>
      <c r="F84" s="30">
        <f>ROUND($F$11/32*10,4)</f>
        <v>0.0033</v>
      </c>
      <c r="G84" s="25">
        <f t="shared" si="62"/>
        <v>0.2128</v>
      </c>
      <c r="H84" s="25">
        <f t="shared" si="66"/>
        <v>0.007718134715025915</v>
      </c>
      <c r="I84" s="25">
        <f t="shared" si="63"/>
        <v>0.2205</v>
      </c>
      <c r="J84" s="25">
        <f>ROUND(J$11/3,4)</f>
        <v>-0.0435</v>
      </c>
      <c r="K84" s="25">
        <f>ROUND(K$11/3,4)</f>
        <v>0.0812</v>
      </c>
      <c r="L84" s="134">
        <f t="shared" si="64"/>
        <v>0.2582</v>
      </c>
      <c r="M84" s="29">
        <v>0.284</v>
      </c>
      <c r="N84" s="29">
        <f t="shared" si="67"/>
        <v>0.2272</v>
      </c>
      <c r="O84" s="29">
        <f>INPUT!E$86</f>
        <v>0</v>
      </c>
      <c r="P84" s="101">
        <f t="shared" si="70"/>
        <v>0.2272</v>
      </c>
      <c r="Q84" s="29">
        <f t="shared" si="68"/>
        <v>0.0063</v>
      </c>
      <c r="R84" s="137">
        <f t="shared" si="69"/>
        <v>0.26</v>
      </c>
      <c r="S84" s="139"/>
      <c r="T84" s="141">
        <v>0.29</v>
      </c>
      <c r="U84" s="103">
        <f t="shared" si="65"/>
        <v>-0.02999999999999997</v>
      </c>
    </row>
    <row r="85" spans="1:21" ht="14.25" thickBot="1" thickTop="1">
      <c r="A85" s="20" t="s">
        <v>65</v>
      </c>
      <c r="B85" s="26">
        <f>'CNTNR COST'!G83</f>
        <v>0.1241</v>
      </c>
      <c r="C85" s="25">
        <v>0</v>
      </c>
      <c r="D85" s="25">
        <f>+$D$15</f>
        <v>0.0231</v>
      </c>
      <c r="E85" s="30">
        <f>ROUND($E$11/4,4)</f>
        <v>0</v>
      </c>
      <c r="F85" s="30">
        <f>ROUND($F$11/4,4)</f>
        <v>0.0027</v>
      </c>
      <c r="G85" s="25">
        <f t="shared" si="62"/>
        <v>0.1499</v>
      </c>
      <c r="H85" s="25">
        <f t="shared" si="66"/>
        <v>0.005436787564766843</v>
      </c>
      <c r="I85" s="25">
        <f t="shared" si="63"/>
        <v>0.1553</v>
      </c>
      <c r="J85" s="25">
        <f>ROUND(J$11/4,4)</f>
        <v>-0.0326</v>
      </c>
      <c r="K85" s="25">
        <f>ROUND(K$11/4,4)</f>
        <v>0.0609</v>
      </c>
      <c r="L85" s="134">
        <f t="shared" si="64"/>
        <v>0.1836</v>
      </c>
      <c r="M85" s="29">
        <v>0.2152</v>
      </c>
      <c r="N85" s="29">
        <f t="shared" si="67"/>
        <v>0.1616</v>
      </c>
      <c r="O85" s="29">
        <f>INPUT!E$87</f>
        <v>0</v>
      </c>
      <c r="P85" s="101">
        <f t="shared" si="70"/>
        <v>0.1616</v>
      </c>
      <c r="Q85" s="29">
        <f t="shared" si="68"/>
        <v>0.0045</v>
      </c>
      <c r="R85" s="137">
        <f t="shared" si="69"/>
        <v>0.19</v>
      </c>
      <c r="S85" s="139"/>
      <c r="T85" s="141">
        <v>0.22</v>
      </c>
      <c r="U85" s="103">
        <f t="shared" si="65"/>
        <v>-0.03</v>
      </c>
    </row>
    <row r="86" spans="1:21" ht="14.25" thickBot="1" thickTop="1">
      <c r="A86" s="20" t="s">
        <v>66</v>
      </c>
      <c r="B86" s="26">
        <f>'CNTNR COST'!G84</f>
        <v>0.098</v>
      </c>
      <c r="C86" s="25">
        <v>0</v>
      </c>
      <c r="D86" s="25">
        <f>+$D$16</f>
        <v>0.0363</v>
      </c>
      <c r="E86" s="30">
        <f>ROUND($E$11/8,4)</f>
        <v>0</v>
      </c>
      <c r="F86" s="30">
        <f>ROUND($F$11/8,4)</f>
        <v>0.0013</v>
      </c>
      <c r="G86" s="25">
        <f t="shared" si="62"/>
        <v>0.1356</v>
      </c>
      <c r="H86" s="25">
        <f t="shared" si="66"/>
        <v>0.004918134715025918</v>
      </c>
      <c r="I86" s="25">
        <f t="shared" si="63"/>
        <v>0.1405</v>
      </c>
      <c r="J86" s="25">
        <f>ROUND(J$11/8,4)</f>
        <v>-0.0163</v>
      </c>
      <c r="K86" s="25">
        <f>ROUND(K$11/8,4)</f>
        <v>0.0305</v>
      </c>
      <c r="L86" s="134">
        <f t="shared" si="64"/>
        <v>0.1547</v>
      </c>
      <c r="M86" s="29">
        <v>0.1251</v>
      </c>
      <c r="N86" s="29">
        <f t="shared" si="67"/>
        <v>0.1361</v>
      </c>
      <c r="O86" s="29">
        <f>INPUT!E$88</f>
        <v>0</v>
      </c>
      <c r="P86" s="101">
        <f t="shared" si="70"/>
        <v>0.1361</v>
      </c>
      <c r="Q86" s="29">
        <f t="shared" si="68"/>
        <v>0.0038</v>
      </c>
      <c r="R86" s="137">
        <f t="shared" si="69"/>
        <v>0.16</v>
      </c>
      <c r="S86" s="139"/>
      <c r="T86" s="141">
        <v>0.13</v>
      </c>
      <c r="U86" s="103">
        <f t="shared" si="65"/>
        <v>0.03</v>
      </c>
    </row>
    <row r="87" spans="1:21" ht="14.25" thickBot="1" thickTop="1">
      <c r="A87" s="20" t="s">
        <v>94</v>
      </c>
      <c r="B87" s="35">
        <f>'CNTNR COST'!G85</f>
        <v>0.6001</v>
      </c>
      <c r="C87" s="36">
        <v>0</v>
      </c>
      <c r="D87" s="36">
        <f>+$D$17</f>
        <v>0.1316</v>
      </c>
      <c r="E87" s="39">
        <f>ROUND($E$11,4)</f>
        <v>0</v>
      </c>
      <c r="F87" s="39">
        <f>ROUND($F$11,4)</f>
        <v>0.0106</v>
      </c>
      <c r="G87" s="36">
        <f t="shared" si="62"/>
        <v>0.7423</v>
      </c>
      <c r="H87" s="36">
        <f t="shared" si="66"/>
        <v>0.026922797927461217</v>
      </c>
      <c r="I87" s="36">
        <f t="shared" si="63"/>
        <v>0.7692</v>
      </c>
      <c r="J87" s="36">
        <f>J$11</f>
        <v>-0.1305</v>
      </c>
      <c r="K87" s="36">
        <f>K$11</f>
        <v>0.2437</v>
      </c>
      <c r="L87" s="135">
        <f t="shared" si="64"/>
        <v>0.8824</v>
      </c>
      <c r="M87" s="41">
        <v>0.7431</v>
      </c>
      <c r="N87" s="41">
        <f t="shared" si="67"/>
        <v>0.7765</v>
      </c>
      <c r="O87" s="41">
        <f>INPUT!E$89</f>
        <v>0</v>
      </c>
      <c r="P87" s="41">
        <f t="shared" si="70"/>
        <v>0.7765</v>
      </c>
      <c r="Q87" s="41">
        <f t="shared" si="68"/>
        <v>0.0215</v>
      </c>
      <c r="R87" s="138">
        <f>IF(ROUND(Q87+P87,2)&gt;L87,ROUND(Q87+P87,2),ROUND(L87+0.005,2))</f>
        <v>0.89</v>
      </c>
      <c r="S87" s="139"/>
      <c r="T87" s="142">
        <v>0.77</v>
      </c>
      <c r="U87" s="104">
        <f t="shared" si="65"/>
        <v>0.12</v>
      </c>
    </row>
    <row r="88" spans="1:20" ht="14.25" thickBot="1" thickTop="1">
      <c r="A88" s="37" t="s">
        <v>141</v>
      </c>
      <c r="L88" s="42"/>
      <c r="M88" s="42"/>
      <c r="N88" s="42"/>
      <c r="O88" s="42"/>
      <c r="P88" s="42"/>
      <c r="Q88" s="42"/>
      <c r="R88" s="139"/>
      <c r="S88" s="139"/>
      <c r="T88" s="139"/>
    </row>
    <row r="89" spans="1:21" ht="14.25" thickBot="1" thickTop="1">
      <c r="A89" s="20" t="s">
        <v>12</v>
      </c>
      <c r="B89" s="34">
        <f>'CNTNR COST'!G87</f>
        <v>3.6272</v>
      </c>
      <c r="C89" s="24">
        <v>0</v>
      </c>
      <c r="D89" s="24">
        <f>+$D$9</f>
        <v>-0.1217</v>
      </c>
      <c r="E89" s="38">
        <f>ROUND($E$11*4,4)</f>
        <v>0</v>
      </c>
      <c r="F89" s="38">
        <f>ROUND($F$11*4,4)</f>
        <v>0.0424</v>
      </c>
      <c r="G89" s="24">
        <f aca="true" t="shared" si="71" ref="G89:G97">ROUND(SUM(B89:F89),4)</f>
        <v>3.5479</v>
      </c>
      <c r="H89" s="24">
        <f>(G89/(1-$H$5))-G89</f>
        <v>0.1286803108808292</v>
      </c>
      <c r="I89" s="24">
        <f aca="true" t="shared" si="72" ref="I89:I97">ROUND(G89+H89,4)</f>
        <v>3.6766</v>
      </c>
      <c r="J89" s="24">
        <f>ROUND(J$11*4,4)</f>
        <v>-0.522</v>
      </c>
      <c r="K89" s="24">
        <f>ROUND(K$11*4,4)</f>
        <v>0.9748</v>
      </c>
      <c r="L89" s="133">
        <f aca="true" t="shared" si="73" ref="L89:L97">ROUND(SUM(I89:K89),4)</f>
        <v>4.1294</v>
      </c>
      <c r="M89" s="40">
        <v>2.7515</v>
      </c>
      <c r="N89" s="40">
        <f>ROUND(L89-(L89*WHSLE_DISCNT),4)</f>
        <v>3.6339</v>
      </c>
      <c r="O89" s="40">
        <f>INPUT!E$81</f>
        <v>0</v>
      </c>
      <c r="P89" s="100">
        <f>N89+O89</f>
        <v>3.6339</v>
      </c>
      <c r="Q89" s="40">
        <f>ROUND(P89/(1-RETAIL_PRFT)-P89,4)</f>
        <v>0.1008</v>
      </c>
      <c r="R89" s="136">
        <f>IF(ROUND(Q89+P89,2)&gt;L89,ROUND(Q89+P89,2),ROUND(L89+0.005,2))</f>
        <v>4.13</v>
      </c>
      <c r="S89" s="139"/>
      <c r="T89" s="140">
        <v>2.88</v>
      </c>
      <c r="U89" s="102">
        <f aca="true" t="shared" si="74" ref="U89:U97">R89-T89</f>
        <v>1.25</v>
      </c>
    </row>
    <row r="90" spans="1:21" ht="14.25" thickBot="1" thickTop="1">
      <c r="A90" s="20" t="s">
        <v>63</v>
      </c>
      <c r="B90" s="26">
        <f>'CNTNR COST'!G88</f>
        <v>1.8136</v>
      </c>
      <c r="C90" s="25">
        <v>0</v>
      </c>
      <c r="D90" s="25">
        <f>+$D$10</f>
        <v>-0.0867</v>
      </c>
      <c r="E90" s="30">
        <f>ROUND($E$11*2,4)</f>
        <v>0</v>
      </c>
      <c r="F90" s="30">
        <f>ROUND($F$11*2,4)</f>
        <v>0.0212</v>
      </c>
      <c r="G90" s="25">
        <f t="shared" si="71"/>
        <v>1.7481</v>
      </c>
      <c r="H90" s="25">
        <f t="shared" si="66"/>
        <v>0.06340259067357512</v>
      </c>
      <c r="I90" s="25">
        <f t="shared" si="72"/>
        <v>1.8115</v>
      </c>
      <c r="J90" s="25">
        <f>ROUND(J$11*2,4)</f>
        <v>-0.261</v>
      </c>
      <c r="K90" s="25">
        <f>ROUND(K$11*2,4)</f>
        <v>0.4874</v>
      </c>
      <c r="L90" s="134">
        <f t="shared" si="73"/>
        <v>2.0379</v>
      </c>
      <c r="M90" s="29">
        <v>1.421</v>
      </c>
      <c r="N90" s="29">
        <f aca="true" t="shared" si="75" ref="N90:N97">ROUND(L90-(L90*WHSLE_DISCNT),4)</f>
        <v>1.7934</v>
      </c>
      <c r="O90" s="29">
        <f>INPUT!E$82</f>
        <v>0</v>
      </c>
      <c r="P90" s="101">
        <f>O90+N90</f>
        <v>1.7934</v>
      </c>
      <c r="Q90" s="29">
        <f aca="true" t="shared" si="76" ref="Q90:Q97">ROUND(P90/(1-RETAIL_PRFT)-P90,4)</f>
        <v>0.0498</v>
      </c>
      <c r="R90" s="137">
        <f aca="true" t="shared" si="77" ref="R90:R96">IF(ROUND(Q90+P90,2)&gt;L90,ROUND(Q90+P90,2),ROUND(L90+0.005,2))</f>
        <v>2.04</v>
      </c>
      <c r="S90" s="139"/>
      <c r="T90" s="141">
        <v>1.48</v>
      </c>
      <c r="U90" s="103">
        <f t="shared" si="74"/>
        <v>0.56</v>
      </c>
    </row>
    <row r="91" spans="1:21" ht="14.25" thickBot="1" thickTop="1">
      <c r="A91" s="20" t="s">
        <v>14</v>
      </c>
      <c r="B91" s="26">
        <f>'CNTNR COST'!G89</f>
        <v>0.9068</v>
      </c>
      <c r="C91" s="25">
        <v>0</v>
      </c>
      <c r="D91" s="25">
        <f>+$D$11</f>
        <v>0.1131</v>
      </c>
      <c r="E91" s="30">
        <f>ENERGY_ADDON</f>
        <v>0</v>
      </c>
      <c r="F91" s="30">
        <f>ROUND(COST_UPDATE_ADJ,4)</f>
        <v>0.0106</v>
      </c>
      <c r="G91" s="25">
        <f t="shared" si="71"/>
        <v>1.0305</v>
      </c>
      <c r="H91" s="25">
        <f t="shared" si="66"/>
        <v>0.03737564766839374</v>
      </c>
      <c r="I91" s="25">
        <f t="shared" si="72"/>
        <v>1.0679</v>
      </c>
      <c r="J91" s="25">
        <f>$J$11</f>
        <v>-0.1305</v>
      </c>
      <c r="K91" s="25">
        <f>$K$11</f>
        <v>0.2437</v>
      </c>
      <c r="L91" s="134">
        <f t="shared" si="73"/>
        <v>1.1811</v>
      </c>
      <c r="M91" s="29">
        <v>0.7567</v>
      </c>
      <c r="N91" s="29">
        <f t="shared" si="75"/>
        <v>1.0394</v>
      </c>
      <c r="O91" s="29">
        <f>INPUT!E$83</f>
        <v>0</v>
      </c>
      <c r="P91" s="101">
        <f aca="true" t="shared" si="78" ref="P91:P97">O91+N91</f>
        <v>1.0394</v>
      </c>
      <c r="Q91" s="29">
        <f t="shared" si="76"/>
        <v>0.0288</v>
      </c>
      <c r="R91" s="137">
        <f t="shared" si="77"/>
        <v>1.19</v>
      </c>
      <c r="S91" s="139"/>
      <c r="T91" s="141">
        <v>0.78</v>
      </c>
      <c r="U91" s="103">
        <f t="shared" si="74"/>
        <v>0.4099999999999999</v>
      </c>
    </row>
    <row r="92" spans="1:21" ht="14.25" thickBot="1" thickTop="1">
      <c r="A92" s="20" t="s">
        <v>15</v>
      </c>
      <c r="B92" s="26">
        <f>'CNTNR COST'!G90</f>
        <v>0.4534</v>
      </c>
      <c r="C92" s="25">
        <v>0</v>
      </c>
      <c r="D92" s="25">
        <f>+$D$12</f>
        <v>0.1039</v>
      </c>
      <c r="E92" s="30">
        <f>ROUND($E$11/2,4)</f>
        <v>0</v>
      </c>
      <c r="F92" s="30">
        <f>ROUND($F$11/2,4)</f>
        <v>0.0053</v>
      </c>
      <c r="G92" s="25">
        <f t="shared" si="71"/>
        <v>0.5626</v>
      </c>
      <c r="H92" s="25">
        <f t="shared" si="66"/>
        <v>0.020405181347150303</v>
      </c>
      <c r="I92" s="25">
        <f t="shared" si="72"/>
        <v>0.583</v>
      </c>
      <c r="J92" s="25">
        <f>ROUND(J$11/2,4)</f>
        <v>-0.0653</v>
      </c>
      <c r="K92" s="25">
        <f>ROUND(K$11/2,4)</f>
        <v>0.1219</v>
      </c>
      <c r="L92" s="134">
        <f t="shared" si="73"/>
        <v>0.6396</v>
      </c>
      <c r="M92" s="29">
        <v>0.4103</v>
      </c>
      <c r="N92" s="29">
        <f t="shared" si="75"/>
        <v>0.5628</v>
      </c>
      <c r="O92" s="29">
        <f>INPUT!E$84</f>
        <v>0</v>
      </c>
      <c r="P92" s="101">
        <f t="shared" si="78"/>
        <v>0.5628</v>
      </c>
      <c r="Q92" s="29">
        <f t="shared" si="76"/>
        <v>0.0156</v>
      </c>
      <c r="R92" s="137">
        <f t="shared" si="77"/>
        <v>0.64</v>
      </c>
      <c r="S92" s="139"/>
      <c r="T92" s="141">
        <v>0.42</v>
      </c>
      <c r="U92" s="103">
        <f t="shared" si="74"/>
        <v>0.22000000000000003</v>
      </c>
    </row>
    <row r="93" spans="1:21" ht="14.25" thickBot="1" thickTop="1">
      <c r="A93" s="20" t="s">
        <v>162</v>
      </c>
      <c r="B93" s="26">
        <f>'CNTNR COST'!G91</f>
        <v>0.5166</v>
      </c>
      <c r="C93" s="25"/>
      <c r="D93" s="29">
        <f>+$D$13</f>
        <v>0.0746</v>
      </c>
      <c r="E93" s="30">
        <f>ROUND($E$11/32*12,4)</f>
        <v>0</v>
      </c>
      <c r="F93" s="30">
        <f>ROUND($F$11/32*12,4)</f>
        <v>0.004</v>
      </c>
      <c r="G93" s="25">
        <f t="shared" si="71"/>
        <v>0.5952</v>
      </c>
      <c r="H93" s="25">
        <f t="shared" si="66"/>
        <v>0.02158756476683943</v>
      </c>
      <c r="I93" s="25">
        <f t="shared" si="72"/>
        <v>0.6168</v>
      </c>
      <c r="J93" s="25">
        <f>ROUND(J91/32*12,4)</f>
        <v>-0.0489</v>
      </c>
      <c r="K93" s="25">
        <f>ROUND(K91/32*12,4)</f>
        <v>0.0914</v>
      </c>
      <c r="L93" s="134">
        <f t="shared" si="73"/>
        <v>0.6593</v>
      </c>
      <c r="M93" s="29"/>
      <c r="N93" s="29">
        <f t="shared" si="75"/>
        <v>0.5802</v>
      </c>
      <c r="O93" s="29">
        <f>INPUT!E$85</f>
        <v>0</v>
      </c>
      <c r="P93" s="101">
        <f t="shared" si="78"/>
        <v>0.5802</v>
      </c>
      <c r="Q93" s="29">
        <f t="shared" si="76"/>
        <v>0.0161</v>
      </c>
      <c r="R93" s="137">
        <f t="shared" si="77"/>
        <v>0.66</v>
      </c>
      <c r="S93" s="139"/>
      <c r="T93" s="141"/>
      <c r="U93" s="103"/>
    </row>
    <row r="94" spans="1:21" ht="14.25" thickBot="1" thickTop="1">
      <c r="A94" s="20" t="s">
        <v>64</v>
      </c>
      <c r="B94" s="26">
        <f>'CNTNR COST'!G92</f>
        <v>0.3378</v>
      </c>
      <c r="C94" s="25">
        <v>0</v>
      </c>
      <c r="D94" s="25">
        <f>+$D$14</f>
        <v>0</v>
      </c>
      <c r="E94" s="30">
        <f>ROUND($E$11/32*10,4)</f>
        <v>0</v>
      </c>
      <c r="F94" s="30">
        <f>ROUND($F$11/32*10,4)</f>
        <v>0.0033</v>
      </c>
      <c r="G94" s="25">
        <f t="shared" si="71"/>
        <v>0.3411</v>
      </c>
      <c r="H94" s="25">
        <f t="shared" si="66"/>
        <v>0.0123715025906736</v>
      </c>
      <c r="I94" s="25">
        <f t="shared" si="72"/>
        <v>0.3535</v>
      </c>
      <c r="J94" s="25">
        <f>ROUND(J$11/3,4)</f>
        <v>-0.0435</v>
      </c>
      <c r="K94" s="25">
        <f>ROUND(K$11/3,4)</f>
        <v>0.0812</v>
      </c>
      <c r="L94" s="134">
        <f t="shared" si="73"/>
        <v>0.3912</v>
      </c>
      <c r="M94" s="29">
        <v>0.284</v>
      </c>
      <c r="N94" s="29">
        <f t="shared" si="75"/>
        <v>0.3443</v>
      </c>
      <c r="O94" s="29">
        <f>INPUT!E$86</f>
        <v>0</v>
      </c>
      <c r="P94" s="101">
        <f t="shared" si="78"/>
        <v>0.3443</v>
      </c>
      <c r="Q94" s="29">
        <f t="shared" si="76"/>
        <v>0.0096</v>
      </c>
      <c r="R94" s="137">
        <f t="shared" si="77"/>
        <v>0.4</v>
      </c>
      <c r="S94" s="139"/>
      <c r="T94" s="141">
        <v>0.29</v>
      </c>
      <c r="U94" s="103">
        <f t="shared" si="74"/>
        <v>0.11000000000000004</v>
      </c>
    </row>
    <row r="95" spans="1:21" ht="14.25" thickBot="1" thickTop="1">
      <c r="A95" s="20" t="s">
        <v>65</v>
      </c>
      <c r="B95" s="26">
        <f>'CNTNR COST'!G93</f>
        <v>0.2268</v>
      </c>
      <c r="C95" s="25">
        <v>0</v>
      </c>
      <c r="D95" s="25">
        <f>+$D$15</f>
        <v>0.0231</v>
      </c>
      <c r="E95" s="30">
        <f>ROUND($E$11/4,4)</f>
        <v>0</v>
      </c>
      <c r="F95" s="30">
        <f>ROUND($F$11/4,4)</f>
        <v>0.0027</v>
      </c>
      <c r="G95" s="25">
        <f t="shared" si="71"/>
        <v>0.2526</v>
      </c>
      <c r="H95" s="25">
        <f t="shared" si="66"/>
        <v>0.009161658031088094</v>
      </c>
      <c r="I95" s="25">
        <f t="shared" si="72"/>
        <v>0.2618</v>
      </c>
      <c r="J95" s="25">
        <f>ROUND(J$11/4,4)</f>
        <v>-0.0326</v>
      </c>
      <c r="K95" s="25">
        <f>ROUND(K$11/4,4)</f>
        <v>0.0609</v>
      </c>
      <c r="L95" s="134">
        <f t="shared" si="73"/>
        <v>0.2901</v>
      </c>
      <c r="M95" s="29">
        <v>0.2152</v>
      </c>
      <c r="N95" s="29">
        <f t="shared" si="75"/>
        <v>0.2553</v>
      </c>
      <c r="O95" s="29">
        <f>INPUT!E$87</f>
        <v>0</v>
      </c>
      <c r="P95" s="101">
        <f t="shared" si="78"/>
        <v>0.2553</v>
      </c>
      <c r="Q95" s="29">
        <f t="shared" si="76"/>
        <v>0.0071</v>
      </c>
      <c r="R95" s="137">
        <f t="shared" si="77"/>
        <v>0.3</v>
      </c>
      <c r="S95" s="139"/>
      <c r="T95" s="141">
        <v>0.22</v>
      </c>
      <c r="U95" s="103">
        <f t="shared" si="74"/>
        <v>0.07999999999999999</v>
      </c>
    </row>
    <row r="96" spans="1:21" ht="14.25" thickBot="1" thickTop="1">
      <c r="A96" s="20" t="s">
        <v>66</v>
      </c>
      <c r="B96" s="26">
        <f>'CNTNR COST'!G94</f>
        <v>0.1493</v>
      </c>
      <c r="C96" s="25">
        <v>0</v>
      </c>
      <c r="D96" s="25">
        <f>+$D$16</f>
        <v>0.0363</v>
      </c>
      <c r="E96" s="30">
        <f>ROUND($E$11/8,4)</f>
        <v>0</v>
      </c>
      <c r="F96" s="30">
        <f>ROUND($F$11/8,4)</f>
        <v>0.0013</v>
      </c>
      <c r="G96" s="25">
        <f t="shared" si="71"/>
        <v>0.1869</v>
      </c>
      <c r="H96" s="25">
        <f t="shared" si="66"/>
        <v>0.006778756476683939</v>
      </c>
      <c r="I96" s="25">
        <f t="shared" si="72"/>
        <v>0.1937</v>
      </c>
      <c r="J96" s="25">
        <f>ROUND(J$11/8,4)</f>
        <v>-0.0163</v>
      </c>
      <c r="K96" s="25">
        <f>ROUND(K$11/8,4)</f>
        <v>0.0305</v>
      </c>
      <c r="L96" s="134">
        <f t="shared" si="73"/>
        <v>0.2079</v>
      </c>
      <c r="M96" s="29">
        <v>0.1251</v>
      </c>
      <c r="N96" s="29">
        <f t="shared" si="75"/>
        <v>0.183</v>
      </c>
      <c r="O96" s="29">
        <f>INPUT!E$88</f>
        <v>0</v>
      </c>
      <c r="P96" s="101">
        <f t="shared" si="78"/>
        <v>0.183</v>
      </c>
      <c r="Q96" s="29">
        <f t="shared" si="76"/>
        <v>0.0051</v>
      </c>
      <c r="R96" s="137">
        <f t="shared" si="77"/>
        <v>0.21</v>
      </c>
      <c r="S96" s="139"/>
      <c r="T96" s="141">
        <v>0.13</v>
      </c>
      <c r="U96" s="103">
        <f t="shared" si="74"/>
        <v>0.07999999999999999</v>
      </c>
    </row>
    <row r="97" spans="1:21" ht="14.25" thickBot="1" thickTop="1">
      <c r="A97" s="20" t="s">
        <v>94</v>
      </c>
      <c r="B97" s="35">
        <f>'CNTNR COST'!G95</f>
        <v>1.0107</v>
      </c>
      <c r="C97" s="36">
        <v>0</v>
      </c>
      <c r="D97" s="36">
        <f>+$D$17</f>
        <v>0.1316</v>
      </c>
      <c r="E97" s="39">
        <f>ROUND($E$11,4)</f>
        <v>0</v>
      </c>
      <c r="F97" s="39">
        <f>ROUND($F$11,4)</f>
        <v>0.0106</v>
      </c>
      <c r="G97" s="36">
        <f t="shared" si="71"/>
        <v>1.1529</v>
      </c>
      <c r="H97" s="36">
        <f t="shared" si="66"/>
        <v>0.0418150259067358</v>
      </c>
      <c r="I97" s="36">
        <f t="shared" si="72"/>
        <v>1.1947</v>
      </c>
      <c r="J97" s="36">
        <f>J$11</f>
        <v>-0.1305</v>
      </c>
      <c r="K97" s="36">
        <f>K$11</f>
        <v>0.2437</v>
      </c>
      <c r="L97" s="135">
        <f t="shared" si="73"/>
        <v>1.3079</v>
      </c>
      <c r="M97" s="41">
        <v>0.7431</v>
      </c>
      <c r="N97" s="41">
        <f t="shared" si="75"/>
        <v>1.151</v>
      </c>
      <c r="O97" s="41">
        <f>INPUT!E$89</f>
        <v>0</v>
      </c>
      <c r="P97" s="41">
        <f t="shared" si="78"/>
        <v>1.151</v>
      </c>
      <c r="Q97" s="41">
        <f t="shared" si="76"/>
        <v>0.0319</v>
      </c>
      <c r="R97" s="138">
        <f>IF(ROUND(Q97+P97,2)&gt;L97,ROUND(Q97+P97,2),ROUND(L97+0.005,2))</f>
        <v>1.31</v>
      </c>
      <c r="S97" s="139"/>
      <c r="T97" s="142">
        <v>0.77</v>
      </c>
      <c r="U97" s="104">
        <f t="shared" si="74"/>
        <v>0.54</v>
      </c>
    </row>
    <row r="98" spans="1:20" ht="14.25" thickBot="1" thickTop="1">
      <c r="A98" s="37" t="s">
        <v>68</v>
      </c>
      <c r="L98" s="42"/>
      <c r="M98" s="42"/>
      <c r="N98" s="42"/>
      <c r="O98" s="42"/>
      <c r="P98" s="42"/>
      <c r="Q98" s="42"/>
      <c r="R98" s="139"/>
      <c r="S98" s="139"/>
      <c r="T98" s="155"/>
    </row>
    <row r="99" spans="1:21" ht="14.25" thickBot="1" thickTop="1">
      <c r="A99" s="20" t="s">
        <v>63</v>
      </c>
      <c r="B99" s="34">
        <f>'CNTNR COST'!G97</f>
        <v>0.7916</v>
      </c>
      <c r="C99" s="24">
        <f>C100*2</f>
        <v>0.388</v>
      </c>
      <c r="D99" s="24">
        <f>+$D$10</f>
        <v>-0.0867</v>
      </c>
      <c r="E99" s="38">
        <f>ROUND($E$11*2,4)</f>
        <v>0</v>
      </c>
      <c r="F99" s="38">
        <f>ROUND($F$11*2,4)</f>
        <v>0.0212</v>
      </c>
      <c r="G99" s="24">
        <f>ROUND(SUM(B99:F99),4)</f>
        <v>1.1141</v>
      </c>
      <c r="H99" s="24">
        <f t="shared" si="66"/>
        <v>0.04040777202072543</v>
      </c>
      <c r="I99" s="24">
        <f>ROUND(G99+H99,4)</f>
        <v>1.1545</v>
      </c>
      <c r="J99" s="24">
        <f>ROUND(J$11*2,4)</f>
        <v>-0.261</v>
      </c>
      <c r="K99" s="24">
        <f>ROUND(K$11*2,4)</f>
        <v>0.4874</v>
      </c>
      <c r="L99" s="133">
        <f aca="true" t="shared" si="79" ref="L99:L109">ROUND(SUM(I99:K99),4)</f>
        <v>1.3809</v>
      </c>
      <c r="M99" s="40">
        <v>2.6427</v>
      </c>
      <c r="N99" s="40">
        <f t="shared" si="67"/>
        <v>1.2152</v>
      </c>
      <c r="O99" s="40">
        <f>INPUT!E$82</f>
        <v>0</v>
      </c>
      <c r="P99" s="40">
        <f>N99+O99</f>
        <v>1.2152</v>
      </c>
      <c r="Q99" s="40">
        <f>ROUND(P99/(1-RETAIL_PRFT)-P99,4)</f>
        <v>0.0337</v>
      </c>
      <c r="R99" s="136">
        <f>IF(ROUND(Q99+P99,2)&gt;L99,ROUND(Q99+P99,2),ROUND(L99+0.005,2))</f>
        <v>1.39</v>
      </c>
      <c r="S99" s="139"/>
      <c r="T99" s="152">
        <v>2.66</v>
      </c>
      <c r="U99" s="102">
        <f>R99-T109</f>
        <v>1.3399999999999999</v>
      </c>
    </row>
    <row r="100" spans="1:21" ht="14.25" thickBot="1" thickTop="1">
      <c r="A100" s="20" t="s">
        <v>14</v>
      </c>
      <c r="B100" s="26">
        <f>'CNTNR COST'!G98</f>
        <v>0.3958</v>
      </c>
      <c r="C100" s="25">
        <f>H_AND_H_ADDON</f>
        <v>0.194</v>
      </c>
      <c r="D100" s="25">
        <f>+$D$11</f>
        <v>0.1131</v>
      </c>
      <c r="E100" s="30">
        <f>ENERGY_ADDON</f>
        <v>0</v>
      </c>
      <c r="F100" s="30">
        <f>ROUND(COST_UPDATE_ADJ,4)</f>
        <v>0.0106</v>
      </c>
      <c r="G100" s="25">
        <f aca="true" t="shared" si="80" ref="G100:G109">ROUND(SUM(B100:F100),4)</f>
        <v>0.7135</v>
      </c>
      <c r="H100" s="25">
        <f t="shared" si="66"/>
        <v>0.025878238341968895</v>
      </c>
      <c r="I100" s="25">
        <f aca="true" t="shared" si="81" ref="I100:I109">ROUND(G100+H100,4)</f>
        <v>0.7394</v>
      </c>
      <c r="J100" s="25">
        <f>$J$11</f>
        <v>-0.1305</v>
      </c>
      <c r="K100" s="25">
        <f>$K$11</f>
        <v>0.2437</v>
      </c>
      <c r="L100" s="134">
        <f t="shared" si="79"/>
        <v>0.8526</v>
      </c>
      <c r="M100" s="29">
        <v>1.3675</v>
      </c>
      <c r="N100" s="29">
        <f t="shared" si="67"/>
        <v>0.7503</v>
      </c>
      <c r="O100" s="29">
        <f>INPUT!E$83</f>
        <v>0</v>
      </c>
      <c r="P100" s="29">
        <f>O100+N100</f>
        <v>0.7503</v>
      </c>
      <c r="Q100" s="29">
        <f aca="true" t="shared" si="82" ref="Q100:Q109">ROUND(P100/(1-RETAIL_PRFT)-P100,4)</f>
        <v>0.0208</v>
      </c>
      <c r="R100" s="137">
        <f aca="true" t="shared" si="83" ref="R100:R106">IF(ROUND(Q100+P100,2)&gt;L100,ROUND(Q100+P100,2),ROUND(L100+0.005,2))</f>
        <v>0.86</v>
      </c>
      <c r="S100" s="139"/>
      <c r="T100" s="153">
        <v>1.38</v>
      </c>
      <c r="U100" s="103">
        <f>R100-T110</f>
        <v>0.86</v>
      </c>
    </row>
    <row r="101" spans="1:21" ht="14.25" thickBot="1" thickTop="1">
      <c r="A101" s="20" t="s">
        <v>15</v>
      </c>
      <c r="B101" s="242">
        <f>'CNTNR COST'!G99</f>
        <v>0.1979</v>
      </c>
      <c r="C101" s="25">
        <f>ROUND(C100/2,4)</f>
        <v>0.097</v>
      </c>
      <c r="D101" s="25">
        <f>+$D$12</f>
        <v>0.1039</v>
      </c>
      <c r="E101" s="30">
        <f>ROUND($E$11/2,4)</f>
        <v>0</v>
      </c>
      <c r="F101" s="30">
        <f>ROUND($F$11/2,4)</f>
        <v>0.0053</v>
      </c>
      <c r="G101" s="25">
        <f t="shared" si="80"/>
        <v>0.4041</v>
      </c>
      <c r="H101" s="25">
        <f t="shared" si="66"/>
        <v>0.014656476683937825</v>
      </c>
      <c r="I101" s="25">
        <f t="shared" si="81"/>
        <v>0.4188</v>
      </c>
      <c r="J101" s="25">
        <f>ROUND(J$11/2,4)</f>
        <v>-0.0653</v>
      </c>
      <c r="K101" s="25">
        <f>ROUND(K$11/2,4)</f>
        <v>0.1219</v>
      </c>
      <c r="L101" s="134">
        <f t="shared" si="79"/>
        <v>0.4754</v>
      </c>
      <c r="M101" s="29">
        <v>0.7157</v>
      </c>
      <c r="N101" s="29">
        <f t="shared" si="67"/>
        <v>0.4184</v>
      </c>
      <c r="O101" s="29">
        <f>INPUT!E$84</f>
        <v>0</v>
      </c>
      <c r="P101" s="29">
        <f aca="true" t="shared" si="84" ref="P101:P109">O101+N101</f>
        <v>0.4184</v>
      </c>
      <c r="Q101" s="29">
        <f t="shared" si="82"/>
        <v>0.0116</v>
      </c>
      <c r="R101" s="137">
        <f t="shared" si="83"/>
        <v>0.48</v>
      </c>
      <c r="S101" s="139"/>
      <c r="T101" s="153">
        <v>0.72</v>
      </c>
      <c r="U101" s="103">
        <f>R101-T111</f>
        <v>-3.7100000000000004</v>
      </c>
    </row>
    <row r="102" spans="1:21" ht="14.25" thickBot="1" thickTop="1">
      <c r="A102" s="20" t="s">
        <v>162</v>
      </c>
      <c r="B102" s="26">
        <f>'CNTNR COST'!G100</f>
        <v>0.325</v>
      </c>
      <c r="C102" s="25">
        <f>ROUND(C100/32*12,4)</f>
        <v>0.0728</v>
      </c>
      <c r="D102" s="29">
        <f>+$D$13</f>
        <v>0.0746</v>
      </c>
      <c r="E102" s="30">
        <f>ROUND($E$11/32*12,4)</f>
        <v>0</v>
      </c>
      <c r="F102" s="30">
        <f>ROUND($F$11/32*12,4)</f>
        <v>0.004</v>
      </c>
      <c r="G102" s="25">
        <f t="shared" si="80"/>
        <v>0.4764</v>
      </c>
      <c r="H102" s="25">
        <f t="shared" si="66"/>
        <v>0.017278756476683976</v>
      </c>
      <c r="I102" s="25">
        <f t="shared" si="81"/>
        <v>0.4937</v>
      </c>
      <c r="J102" s="25">
        <f>ROUND(J100/32*12,4)</f>
        <v>-0.0489</v>
      </c>
      <c r="K102" s="25">
        <f>ROUND(K100/32*12,4)</f>
        <v>0.0914</v>
      </c>
      <c r="L102" s="134">
        <f t="shared" si="79"/>
        <v>0.5362</v>
      </c>
      <c r="M102" s="29"/>
      <c r="N102" s="29">
        <f t="shared" si="67"/>
        <v>0.4719</v>
      </c>
      <c r="O102" s="29">
        <f>INPUT!E$85</f>
        <v>0</v>
      </c>
      <c r="P102" s="101">
        <f t="shared" si="84"/>
        <v>0.4719</v>
      </c>
      <c r="Q102" s="29">
        <f t="shared" si="82"/>
        <v>0.0131</v>
      </c>
      <c r="R102" s="137">
        <f t="shared" si="83"/>
        <v>0.54</v>
      </c>
      <c r="S102" s="139"/>
      <c r="T102" s="141"/>
      <c r="U102" s="103"/>
    </row>
    <row r="103" spans="1:21" ht="14.25" thickBot="1" thickTop="1">
      <c r="A103" s="20" t="s">
        <v>64</v>
      </c>
      <c r="B103" s="26">
        <f>'CNTNR COST'!G101</f>
        <v>0.1781</v>
      </c>
      <c r="C103" s="25">
        <f>ROUND(C100/32*10,4)</f>
        <v>0.0606</v>
      </c>
      <c r="D103" s="25">
        <f>+$D$14</f>
        <v>0</v>
      </c>
      <c r="E103" s="30">
        <f>ROUND($E$11/32*10,4)</f>
        <v>0</v>
      </c>
      <c r="F103" s="30">
        <f>ROUND($F$11/32*10,4)</f>
        <v>0.0033</v>
      </c>
      <c r="G103" s="25">
        <f t="shared" si="80"/>
        <v>0.242</v>
      </c>
      <c r="H103" s="25">
        <f t="shared" si="66"/>
        <v>0.008777202072538848</v>
      </c>
      <c r="I103" s="25">
        <f t="shared" si="81"/>
        <v>0.2508</v>
      </c>
      <c r="J103" s="25">
        <f>ROUND(J$11/3,4)</f>
        <v>-0.0435</v>
      </c>
      <c r="K103" s="25">
        <f>ROUND(K$11/3,4)</f>
        <v>0.0812</v>
      </c>
      <c r="L103" s="134">
        <f t="shared" si="79"/>
        <v>0.2885</v>
      </c>
      <c r="M103" s="29">
        <v>0.475</v>
      </c>
      <c r="N103" s="29">
        <f t="shared" si="67"/>
        <v>0.2539</v>
      </c>
      <c r="O103" s="29">
        <f>INPUT!E$86</f>
        <v>0</v>
      </c>
      <c r="P103" s="29">
        <f t="shared" si="84"/>
        <v>0.2539</v>
      </c>
      <c r="Q103" s="29">
        <f t="shared" si="82"/>
        <v>0.007</v>
      </c>
      <c r="R103" s="137">
        <f t="shared" si="83"/>
        <v>0.29</v>
      </c>
      <c r="S103" s="139"/>
      <c r="T103" s="153">
        <v>0.48</v>
      </c>
      <c r="U103" s="103">
        <f>R103-T112</f>
        <v>-1.85</v>
      </c>
    </row>
    <row r="104" spans="1:21" ht="14.25" thickBot="1" thickTop="1">
      <c r="A104" s="20" t="s">
        <v>65</v>
      </c>
      <c r="B104" s="26">
        <f>'CNTNR COST'!G102</f>
        <v>0.099</v>
      </c>
      <c r="C104" s="25">
        <f>ROUND(C100/4,4)</f>
        <v>0.0485</v>
      </c>
      <c r="D104" s="25">
        <f>+$D$15</f>
        <v>0.0231</v>
      </c>
      <c r="E104" s="30">
        <f>ROUND($E$11/4,4)</f>
        <v>0</v>
      </c>
      <c r="F104" s="30">
        <f>ROUND($F$11/4,4)</f>
        <v>0.0027</v>
      </c>
      <c r="G104" s="25">
        <f t="shared" si="80"/>
        <v>0.1733</v>
      </c>
      <c r="H104" s="25">
        <f t="shared" si="66"/>
        <v>0.006285492227979278</v>
      </c>
      <c r="I104" s="25">
        <f t="shared" si="81"/>
        <v>0.1796</v>
      </c>
      <c r="J104" s="25">
        <f>ROUND(J$11/4,4)</f>
        <v>-0.0326</v>
      </c>
      <c r="K104" s="25">
        <f>ROUND(K$11/4,4)</f>
        <v>0.0609</v>
      </c>
      <c r="L104" s="134">
        <f t="shared" si="79"/>
        <v>0.2079</v>
      </c>
      <c r="M104" s="29">
        <v>0.3679</v>
      </c>
      <c r="N104" s="29">
        <f t="shared" si="67"/>
        <v>0.183</v>
      </c>
      <c r="O104" s="29">
        <f>INPUT!E$87</f>
        <v>0</v>
      </c>
      <c r="P104" s="29">
        <f t="shared" si="84"/>
        <v>0.183</v>
      </c>
      <c r="Q104" s="29">
        <f t="shared" si="82"/>
        <v>0.0051</v>
      </c>
      <c r="R104" s="137">
        <f t="shared" si="83"/>
        <v>0.21</v>
      </c>
      <c r="S104" s="139"/>
      <c r="T104" s="153">
        <v>0.37</v>
      </c>
      <c r="U104" s="103">
        <f>R104-T113</f>
        <v>-0.9000000000000001</v>
      </c>
    </row>
    <row r="105" spans="1:21" ht="14.25" thickBot="1" thickTop="1">
      <c r="A105" s="20" t="s">
        <v>66</v>
      </c>
      <c r="B105" s="26">
        <f>'CNTNR COST'!G103</f>
        <v>0.0854</v>
      </c>
      <c r="C105" s="25">
        <f>ROUND(C100/8,4)</f>
        <v>0.0243</v>
      </c>
      <c r="D105" s="25">
        <f>+$D$16</f>
        <v>0.0363</v>
      </c>
      <c r="E105" s="30">
        <f>ROUND($E$11/8,4)</f>
        <v>0</v>
      </c>
      <c r="F105" s="30">
        <f>ROUND($F$11/8,4)</f>
        <v>0.0013</v>
      </c>
      <c r="G105" s="25">
        <f t="shared" si="80"/>
        <v>0.1473</v>
      </c>
      <c r="H105" s="25">
        <f t="shared" si="66"/>
        <v>0.005342487046632122</v>
      </c>
      <c r="I105" s="25">
        <f t="shared" si="81"/>
        <v>0.1526</v>
      </c>
      <c r="J105" s="25">
        <f>ROUND(J$11/8,4)</f>
        <v>-0.0163</v>
      </c>
      <c r="K105" s="25">
        <f>ROUND(K$11/8,4)</f>
        <v>0.0305</v>
      </c>
      <c r="L105" s="134">
        <f t="shared" si="79"/>
        <v>0.1668</v>
      </c>
      <c r="M105" s="29">
        <v>0.2015</v>
      </c>
      <c r="N105" s="29">
        <f t="shared" si="67"/>
        <v>0.1468</v>
      </c>
      <c r="O105" s="29">
        <f>INPUT!E$88</f>
        <v>0</v>
      </c>
      <c r="P105" s="29">
        <f t="shared" si="84"/>
        <v>0.1468</v>
      </c>
      <c r="Q105" s="29">
        <f t="shared" si="82"/>
        <v>0.0041</v>
      </c>
      <c r="R105" s="137">
        <f t="shared" si="83"/>
        <v>0.17</v>
      </c>
      <c r="S105" s="139"/>
      <c r="T105" s="153">
        <v>0.21</v>
      </c>
      <c r="U105" s="103">
        <f>R105-T115</f>
        <v>-0.5499999999999999</v>
      </c>
    </row>
    <row r="106" spans="1:21" ht="14.25" thickBot="1" thickTop="1">
      <c r="A106" s="20" t="s">
        <v>94</v>
      </c>
      <c r="B106" s="26">
        <f>'CNTNR COST'!G104</f>
        <v>0.4997</v>
      </c>
      <c r="C106" s="25">
        <f>C100</f>
        <v>0.194</v>
      </c>
      <c r="D106" s="25">
        <f>+$D$17</f>
        <v>0.1316</v>
      </c>
      <c r="E106" s="30">
        <f>ROUND($E$11,4)</f>
        <v>0</v>
      </c>
      <c r="F106" s="30">
        <f>ROUND($F$11,4)</f>
        <v>0.0106</v>
      </c>
      <c r="G106" s="25">
        <f t="shared" si="80"/>
        <v>0.8359</v>
      </c>
      <c r="H106" s="25">
        <f t="shared" si="66"/>
        <v>0.030317616580310958</v>
      </c>
      <c r="I106" s="25">
        <f t="shared" si="81"/>
        <v>0.8662</v>
      </c>
      <c r="J106" s="25">
        <f>J$11</f>
        <v>-0.1305</v>
      </c>
      <c r="K106" s="25">
        <f>K$11</f>
        <v>0.2437</v>
      </c>
      <c r="L106" s="134">
        <f t="shared" si="79"/>
        <v>0.9794</v>
      </c>
      <c r="M106" s="29">
        <v>1.354</v>
      </c>
      <c r="N106" s="29">
        <f t="shared" si="67"/>
        <v>0.8619</v>
      </c>
      <c r="O106" s="29">
        <f>INPUT!E$89</f>
        <v>0</v>
      </c>
      <c r="P106" s="29">
        <f t="shared" si="84"/>
        <v>0.8619</v>
      </c>
      <c r="Q106" s="29">
        <f t="shared" si="82"/>
        <v>0.0239</v>
      </c>
      <c r="R106" s="137">
        <f t="shared" si="83"/>
        <v>0.98</v>
      </c>
      <c r="S106" s="139"/>
      <c r="T106" s="153">
        <v>1.37</v>
      </c>
      <c r="U106" s="103">
        <f>R106-T116</f>
        <v>0.41000000000000003</v>
      </c>
    </row>
    <row r="107" spans="1:21" ht="14.25" thickBot="1" thickTop="1">
      <c r="A107" s="20" t="s">
        <v>69</v>
      </c>
      <c r="B107" s="26">
        <f>'CNTNR COST'!G105</f>
        <v>0.0046</v>
      </c>
      <c r="C107" s="25">
        <f>ROUND(C108/4*3,4)</f>
        <v>0.0106</v>
      </c>
      <c r="D107" s="25"/>
      <c r="E107" s="165">
        <f>ROUND(E100/32*3/8,4)</f>
        <v>0</v>
      </c>
      <c r="F107" s="165">
        <f>ROUND(F100/32*3/8,4)</f>
        <v>0.0001</v>
      </c>
      <c r="G107" s="25">
        <f t="shared" si="80"/>
        <v>0.0153</v>
      </c>
      <c r="H107" s="25">
        <f t="shared" si="66"/>
        <v>0.0005549222797927456</v>
      </c>
      <c r="I107" s="25">
        <f t="shared" si="81"/>
        <v>0.0159</v>
      </c>
      <c r="J107" s="25">
        <f>+J105/32*3</f>
        <v>-0.001528125</v>
      </c>
      <c r="K107" s="25">
        <f>ROUND(K105/32*3,4)</f>
        <v>0.0029</v>
      </c>
      <c r="L107" s="134">
        <f t="shared" si="79"/>
        <v>0.0173</v>
      </c>
      <c r="M107" s="29">
        <v>0.0207</v>
      </c>
      <c r="N107" s="29">
        <f t="shared" si="67"/>
        <v>0.0152</v>
      </c>
      <c r="O107" s="29">
        <f>ROUND(STORE_COST/85.333,4)</f>
        <v>0</v>
      </c>
      <c r="P107" s="29">
        <f t="shared" si="84"/>
        <v>0.0152</v>
      </c>
      <c r="Q107" s="29">
        <f t="shared" si="82"/>
        <v>0.0004</v>
      </c>
      <c r="R107" s="137">
        <f>IF(ROUND(Q107+P107,2)&gt;L107,ROUND(Q107+P107,2),ROUND(L107+0.005,2))</f>
        <v>0.02</v>
      </c>
      <c r="S107" s="139"/>
      <c r="T107" s="153">
        <v>0.03</v>
      </c>
      <c r="U107" s="103">
        <f>R107-T117</f>
        <v>-0.27999999999999997</v>
      </c>
    </row>
    <row r="108" spans="1:21" ht="14.25" thickBot="1" thickTop="1">
      <c r="A108" s="20" t="s">
        <v>70</v>
      </c>
      <c r="B108" s="26">
        <f>'CNTNR COST'!G106</f>
        <v>0.0062</v>
      </c>
      <c r="C108" s="25">
        <f>CREAMER_ADDON/2</f>
        <v>0.0141</v>
      </c>
      <c r="D108" s="25"/>
      <c r="E108" s="25">
        <f>ROUND(E100/64,4)</f>
        <v>0</v>
      </c>
      <c r="F108" s="25">
        <f>ROUND(F100/64,4)</f>
        <v>0.0002</v>
      </c>
      <c r="G108" s="25">
        <f t="shared" si="80"/>
        <v>0.0205</v>
      </c>
      <c r="H108" s="25">
        <f t="shared" si="66"/>
        <v>0.0007435233160621758</v>
      </c>
      <c r="I108" s="25">
        <f t="shared" si="81"/>
        <v>0.0212</v>
      </c>
      <c r="J108" s="25">
        <f>+J105/8</f>
        <v>-0.0020375</v>
      </c>
      <c r="K108" s="25">
        <f>ROUND(+K105/8,4)</f>
        <v>0.0038</v>
      </c>
      <c r="L108" s="134">
        <f t="shared" si="79"/>
        <v>0.023</v>
      </c>
      <c r="M108" s="29">
        <v>0.0277</v>
      </c>
      <c r="N108" s="29">
        <f t="shared" si="67"/>
        <v>0.0202</v>
      </c>
      <c r="O108" s="29">
        <f>ROUND(STORE_COST/64,4)</f>
        <v>0</v>
      </c>
      <c r="P108" s="29">
        <f t="shared" si="84"/>
        <v>0.0202</v>
      </c>
      <c r="Q108" s="29">
        <f t="shared" si="82"/>
        <v>0.0006</v>
      </c>
      <c r="R108" s="137">
        <f>IF(ROUND(Q108+P108,2)&gt;L108,ROUND(Q108+P108,2),ROUND(L108+0.005,2))</f>
        <v>0.03</v>
      </c>
      <c r="S108" s="139"/>
      <c r="T108" s="153">
        <v>0.03</v>
      </c>
      <c r="U108" s="103">
        <f>R108-T118</f>
        <v>-2.1</v>
      </c>
    </row>
    <row r="109" spans="1:21" ht="14.25" thickBot="1" thickTop="1">
      <c r="A109" s="20" t="s">
        <v>71</v>
      </c>
      <c r="B109" s="35">
        <f>'CNTNR COST'!G107</f>
        <v>0.0093</v>
      </c>
      <c r="C109" s="36">
        <f>ROUND(C108/2*3,4)</f>
        <v>0.0212</v>
      </c>
      <c r="D109" s="36"/>
      <c r="E109" s="36">
        <f>ROUND(E101/64*3,4)</f>
        <v>0</v>
      </c>
      <c r="F109" s="36">
        <f>ROUND(F101/64*3,4)</f>
        <v>0.0002</v>
      </c>
      <c r="G109" s="36">
        <f t="shared" si="80"/>
        <v>0.0307</v>
      </c>
      <c r="H109" s="36">
        <f t="shared" si="66"/>
        <v>0.0011134715025906718</v>
      </c>
      <c r="I109" s="36">
        <f t="shared" si="81"/>
        <v>0.0318</v>
      </c>
      <c r="J109" s="36">
        <f>+J108/2*3</f>
        <v>-0.00305625</v>
      </c>
      <c r="K109" s="36">
        <f>ROUND(+K108/2*3,4)</f>
        <v>0.0057</v>
      </c>
      <c r="L109" s="135">
        <f t="shared" si="79"/>
        <v>0.0344</v>
      </c>
      <c r="M109" s="41">
        <v>0.0413</v>
      </c>
      <c r="N109" s="41">
        <f t="shared" si="67"/>
        <v>0.0303</v>
      </c>
      <c r="O109" s="41">
        <f>O107*2</f>
        <v>0</v>
      </c>
      <c r="P109" s="41">
        <f t="shared" si="84"/>
        <v>0.0303</v>
      </c>
      <c r="Q109" s="41">
        <f t="shared" si="82"/>
        <v>0.0008</v>
      </c>
      <c r="R109" s="138">
        <f>IF(ROUND(Q109+P109,2)&gt;L109,ROUND(Q109+P109,2),ROUND(L109+0.005,2))</f>
        <v>0.04</v>
      </c>
      <c r="S109" s="139"/>
      <c r="T109" s="154">
        <v>0.05</v>
      </c>
      <c r="U109" s="104">
        <f>R109-T119</f>
        <v>0.04</v>
      </c>
    </row>
    <row r="110" spans="1:20" ht="14.25" thickBot="1" thickTop="1">
      <c r="A110" s="37" t="s">
        <v>72</v>
      </c>
      <c r="L110" s="42"/>
      <c r="M110" s="42"/>
      <c r="N110" s="42"/>
      <c r="O110" s="42"/>
      <c r="P110" s="42"/>
      <c r="Q110" s="42"/>
      <c r="R110" s="139"/>
      <c r="S110" s="139"/>
      <c r="T110" s="155"/>
    </row>
    <row r="111" spans="1:21" ht="14.25" thickBot="1" thickTop="1">
      <c r="A111" s="20" t="s">
        <v>63</v>
      </c>
      <c r="B111" s="34">
        <f>'CNTNR COST'!G109</f>
        <v>0.7916</v>
      </c>
      <c r="C111" s="24">
        <f>C112*2</f>
        <v>0.3938</v>
      </c>
      <c r="D111" s="24">
        <f>+$D$10</f>
        <v>-0.0867</v>
      </c>
      <c r="E111" s="38">
        <f>ROUND($E$11*2,4)</f>
        <v>0</v>
      </c>
      <c r="F111" s="38">
        <f>ROUND($F$11*2,4)</f>
        <v>0.0212</v>
      </c>
      <c r="G111" s="24">
        <f>ROUND(SUM(B111:F111),4)</f>
        <v>1.1199</v>
      </c>
      <c r="H111" s="24">
        <f t="shared" si="66"/>
        <v>0.040618134715025844</v>
      </c>
      <c r="I111" s="24">
        <f>ROUND(G111+H111,4)</f>
        <v>1.1605</v>
      </c>
      <c r="J111" s="24">
        <f>ROUND(J$11*2,4)</f>
        <v>-0.261</v>
      </c>
      <c r="K111" s="24">
        <f>ROUND(K$11*2,4)</f>
        <v>0.4874</v>
      </c>
      <c r="L111" s="133">
        <f aca="true" t="shared" si="85" ref="L111:L118">ROUND(SUM(I111:K111),4)</f>
        <v>1.3869</v>
      </c>
      <c r="M111" s="40">
        <v>4.1608</v>
      </c>
      <c r="N111" s="40">
        <f t="shared" si="67"/>
        <v>1.2205</v>
      </c>
      <c r="O111" s="40">
        <f>INPUT!E$82</f>
        <v>0</v>
      </c>
      <c r="P111" s="40">
        <f>N111+O111</f>
        <v>1.2205</v>
      </c>
      <c r="Q111" s="40">
        <f aca="true" t="shared" si="86" ref="Q111:Q145">ROUND(P111/(1-RETAIL_PRFT)-P111,4)</f>
        <v>0.0339</v>
      </c>
      <c r="R111" s="136">
        <f aca="true" t="shared" si="87" ref="R111:R145">IF(ROUND(Q111+P111,2)&gt;L111,ROUND(Q111+P111,2),ROUND(L111+0.005,2))</f>
        <v>1.39</v>
      </c>
      <c r="S111" s="139"/>
      <c r="T111" s="152">
        <v>4.19</v>
      </c>
      <c r="U111" s="102">
        <f>R111-T121</f>
        <v>-1.3</v>
      </c>
    </row>
    <row r="112" spans="1:21" ht="14.25" thickBot="1" thickTop="1">
      <c r="A112" s="20" t="s">
        <v>14</v>
      </c>
      <c r="B112" s="26">
        <f>'CNTNR COST'!G110</f>
        <v>0.3958</v>
      </c>
      <c r="C112" s="25">
        <f>CREAM_ADDON</f>
        <v>0.1969</v>
      </c>
      <c r="D112" s="25">
        <f>+$D$11</f>
        <v>0.1131</v>
      </c>
      <c r="E112" s="30">
        <f>ENERGY_ADDON</f>
        <v>0</v>
      </c>
      <c r="F112" s="30">
        <f>ROUND(COST_UPDATE_ADJ,4)</f>
        <v>0.0106</v>
      </c>
      <c r="G112" s="25">
        <f aca="true" t="shared" si="88" ref="G112:G118">ROUND(SUM(B112:F112),4)</f>
        <v>0.7164</v>
      </c>
      <c r="H112" s="25">
        <f t="shared" si="66"/>
        <v>0.025983419689119214</v>
      </c>
      <c r="I112" s="25">
        <f aca="true" t="shared" si="89" ref="I112:I118">ROUND(G112+H112,4)</f>
        <v>0.7424</v>
      </c>
      <c r="J112" s="25">
        <f>$J$11</f>
        <v>-0.1305</v>
      </c>
      <c r="K112" s="25">
        <f>$K$11</f>
        <v>0.2437</v>
      </c>
      <c r="L112" s="134">
        <f t="shared" si="85"/>
        <v>0.8556</v>
      </c>
      <c r="M112" s="29">
        <v>2.1266</v>
      </c>
      <c r="N112" s="29">
        <f t="shared" si="67"/>
        <v>0.7529</v>
      </c>
      <c r="O112" s="29">
        <f>INPUT!E$83</f>
        <v>0</v>
      </c>
      <c r="P112" s="29">
        <f aca="true" t="shared" si="90" ref="P112:P118">O112+N112</f>
        <v>0.7529</v>
      </c>
      <c r="Q112" s="29">
        <f t="shared" si="86"/>
        <v>0.0209</v>
      </c>
      <c r="R112" s="137">
        <f t="shared" si="87"/>
        <v>0.86</v>
      </c>
      <c r="S112" s="139"/>
      <c r="T112" s="153">
        <v>2.14</v>
      </c>
      <c r="U112" s="103">
        <f>R112-T122</f>
        <v>-0.5199999999999999</v>
      </c>
    </row>
    <row r="113" spans="1:21" ht="14.25" thickBot="1" thickTop="1">
      <c r="A113" s="20" t="s">
        <v>15</v>
      </c>
      <c r="B113" s="26">
        <f>'CNTNR COST'!G111</f>
        <v>0.1979</v>
      </c>
      <c r="C113" s="25">
        <f>ROUND(C112/2,4)</f>
        <v>0.0985</v>
      </c>
      <c r="D113" s="25">
        <f>+$D$12</f>
        <v>0.1039</v>
      </c>
      <c r="E113" s="30">
        <f>ROUND($E$11/2,4)</f>
        <v>0</v>
      </c>
      <c r="F113" s="30">
        <f>ROUND($F$11/2,4)</f>
        <v>0.0053</v>
      </c>
      <c r="G113" s="25">
        <f t="shared" si="88"/>
        <v>0.4056</v>
      </c>
      <c r="H113" s="25">
        <f t="shared" si="66"/>
        <v>0.01471088082901556</v>
      </c>
      <c r="I113" s="25">
        <f t="shared" si="89"/>
        <v>0.4203</v>
      </c>
      <c r="J113" s="25">
        <f>ROUND(J$11/2,4)</f>
        <v>-0.0653</v>
      </c>
      <c r="K113" s="25">
        <f>ROUND(K$11/2,4)</f>
        <v>0.1219</v>
      </c>
      <c r="L113" s="134">
        <f t="shared" si="85"/>
        <v>0.4769</v>
      </c>
      <c r="M113" s="29">
        <v>1.0952</v>
      </c>
      <c r="N113" s="29">
        <f t="shared" si="67"/>
        <v>0.4197</v>
      </c>
      <c r="O113" s="29">
        <f>INPUT!E$84</f>
        <v>0</v>
      </c>
      <c r="P113" s="29">
        <f t="shared" si="90"/>
        <v>0.4197</v>
      </c>
      <c r="Q113" s="29">
        <f t="shared" si="86"/>
        <v>0.0116</v>
      </c>
      <c r="R113" s="137">
        <f t="shared" si="87"/>
        <v>0.48</v>
      </c>
      <c r="S113" s="139"/>
      <c r="T113" s="153">
        <v>1.11</v>
      </c>
      <c r="U113" s="103">
        <f>R113-T124</f>
        <v>-0.41000000000000003</v>
      </c>
    </row>
    <row r="114" spans="1:21" ht="14.25" thickBot="1" thickTop="1">
      <c r="A114" s="20" t="s">
        <v>162</v>
      </c>
      <c r="B114" s="26">
        <f>'CNTNR COST'!G112</f>
        <v>0.325</v>
      </c>
      <c r="C114" s="25">
        <f>ROUND(C112/32*12,4)</f>
        <v>0.0738</v>
      </c>
      <c r="D114" s="29">
        <f>+$D$13</f>
        <v>0.0746</v>
      </c>
      <c r="E114" s="30">
        <f>ROUND($E$11/32*12,4)</f>
        <v>0</v>
      </c>
      <c r="F114" s="30">
        <f>ROUND($F$11/32*12,4)</f>
        <v>0.004</v>
      </c>
      <c r="G114" s="25">
        <f t="shared" si="88"/>
        <v>0.4774</v>
      </c>
      <c r="H114" s="25">
        <f t="shared" si="66"/>
        <v>0.01731502590673578</v>
      </c>
      <c r="I114" s="25">
        <f t="shared" si="89"/>
        <v>0.4947</v>
      </c>
      <c r="J114" s="25">
        <f>ROUND(J112/32*12,4)</f>
        <v>-0.0489</v>
      </c>
      <c r="K114" s="25">
        <f>ROUND(K112/32*12,4)</f>
        <v>0.0914</v>
      </c>
      <c r="L114" s="134">
        <f t="shared" si="85"/>
        <v>0.5372</v>
      </c>
      <c r="M114" s="29"/>
      <c r="N114" s="29">
        <f t="shared" si="67"/>
        <v>0.4727</v>
      </c>
      <c r="O114" s="29">
        <f>INPUT!E$85</f>
        <v>0</v>
      </c>
      <c r="P114" s="101">
        <f t="shared" si="90"/>
        <v>0.4727</v>
      </c>
      <c r="Q114" s="29">
        <f t="shared" si="86"/>
        <v>0.0131</v>
      </c>
      <c r="R114" s="137">
        <f t="shared" si="87"/>
        <v>0.54</v>
      </c>
      <c r="S114" s="139"/>
      <c r="T114" s="141"/>
      <c r="U114" s="103"/>
    </row>
    <row r="115" spans="1:21" ht="14.25" thickBot="1" thickTop="1">
      <c r="A115" s="20" t="s">
        <v>64</v>
      </c>
      <c r="B115" s="26">
        <f>'CNTNR COST'!G113</f>
        <v>0.1781</v>
      </c>
      <c r="C115" s="25">
        <f>ROUND(C112/32*10,4)</f>
        <v>0.0615</v>
      </c>
      <c r="D115" s="25">
        <f>+$D$14</f>
        <v>0</v>
      </c>
      <c r="E115" s="30">
        <f>ROUND($E$11/32*10,4)</f>
        <v>0</v>
      </c>
      <c r="F115" s="30">
        <f>ROUND($F$11/32*10,4)</f>
        <v>0.0033</v>
      </c>
      <c r="G115" s="25">
        <f t="shared" si="88"/>
        <v>0.2429</v>
      </c>
      <c r="H115" s="25">
        <f t="shared" si="66"/>
        <v>0.0088098445595855</v>
      </c>
      <c r="I115" s="25">
        <f t="shared" si="89"/>
        <v>0.2517</v>
      </c>
      <c r="J115" s="25">
        <f>ROUND(J$11/3,4)</f>
        <v>-0.0435</v>
      </c>
      <c r="K115" s="25">
        <f>ROUND(K$11/3,4)</f>
        <v>0.0812</v>
      </c>
      <c r="L115" s="134">
        <f t="shared" si="85"/>
        <v>0.2894</v>
      </c>
      <c r="M115" s="29">
        <v>0.7122</v>
      </c>
      <c r="N115" s="29">
        <f t="shared" si="67"/>
        <v>0.2547</v>
      </c>
      <c r="O115" s="29">
        <f>INPUT!E$86</f>
        <v>0</v>
      </c>
      <c r="P115" s="29">
        <f t="shared" si="90"/>
        <v>0.2547</v>
      </c>
      <c r="Q115" s="29">
        <f t="shared" si="86"/>
        <v>0.0071</v>
      </c>
      <c r="R115" s="137">
        <f t="shared" si="87"/>
        <v>0.29</v>
      </c>
      <c r="S115" s="139"/>
      <c r="T115" s="153">
        <v>0.72</v>
      </c>
      <c r="U115" s="103">
        <f>R115-T125</f>
        <v>-0.41</v>
      </c>
    </row>
    <row r="116" spans="1:21" ht="14.25" thickBot="1" thickTop="1">
      <c r="A116" s="20" t="s">
        <v>65</v>
      </c>
      <c r="B116" s="26">
        <f>'CNTNR COST'!G114</f>
        <v>0.099</v>
      </c>
      <c r="C116" s="25">
        <f>ROUND(C112/4,4)</f>
        <v>0.0492</v>
      </c>
      <c r="D116" s="25">
        <f>+$D$15</f>
        <v>0.0231</v>
      </c>
      <c r="E116" s="30">
        <f>ROUND($E$11/4,4)</f>
        <v>0</v>
      </c>
      <c r="F116" s="30">
        <f>ROUND($F$11/4,4)</f>
        <v>0.0027</v>
      </c>
      <c r="G116" s="25">
        <f t="shared" si="88"/>
        <v>0.174</v>
      </c>
      <c r="H116" s="25">
        <f t="shared" si="66"/>
        <v>0.006310880829015542</v>
      </c>
      <c r="I116" s="25">
        <f t="shared" si="89"/>
        <v>0.1803</v>
      </c>
      <c r="J116" s="25">
        <f>ROUND(J$11/4,4)</f>
        <v>-0.0326</v>
      </c>
      <c r="K116" s="25">
        <f>ROUND(K$11/4,4)</f>
        <v>0.0609</v>
      </c>
      <c r="L116" s="134">
        <f t="shared" si="85"/>
        <v>0.2086</v>
      </c>
      <c r="M116" s="29">
        <v>0.5576</v>
      </c>
      <c r="N116" s="29">
        <f t="shared" si="67"/>
        <v>0.1836</v>
      </c>
      <c r="O116" s="29">
        <f>INPUT!E$87</f>
        <v>0</v>
      </c>
      <c r="P116" s="29">
        <f t="shared" si="90"/>
        <v>0.1836</v>
      </c>
      <c r="Q116" s="29">
        <f t="shared" si="86"/>
        <v>0.0051</v>
      </c>
      <c r="R116" s="137">
        <f t="shared" si="87"/>
        <v>0.21</v>
      </c>
      <c r="S116" s="139"/>
      <c r="T116" s="153">
        <v>0.57</v>
      </c>
      <c r="U116" s="103">
        <f>R116-T126</f>
        <v>-0.16</v>
      </c>
    </row>
    <row r="117" spans="1:21" ht="14.25" thickBot="1" thickTop="1">
      <c r="A117" s="20" t="s">
        <v>66</v>
      </c>
      <c r="B117" s="26">
        <f>'CNTNR COST'!G115</f>
        <v>0.0854</v>
      </c>
      <c r="C117" s="25">
        <f>ROUND(C112/8,4)</f>
        <v>0.0246</v>
      </c>
      <c r="D117" s="25">
        <f>+$D$16</f>
        <v>0.0363</v>
      </c>
      <c r="E117" s="30">
        <f>ROUND($E$11/8,4)</f>
        <v>0</v>
      </c>
      <c r="F117" s="30">
        <f>ROUND($F$11/8,4)</f>
        <v>0.0013</v>
      </c>
      <c r="G117" s="25">
        <f t="shared" si="88"/>
        <v>0.1476</v>
      </c>
      <c r="H117" s="25">
        <f t="shared" si="66"/>
        <v>0.005353367875647663</v>
      </c>
      <c r="I117" s="25">
        <f t="shared" si="89"/>
        <v>0.153</v>
      </c>
      <c r="J117" s="25">
        <f>ROUND(J$11/8,4)</f>
        <v>-0.0163</v>
      </c>
      <c r="K117" s="25">
        <f>ROUND(K$11/8,4)</f>
        <v>0.0305</v>
      </c>
      <c r="L117" s="134">
        <f t="shared" si="85"/>
        <v>0.1672</v>
      </c>
      <c r="M117" s="29">
        <v>0.2963</v>
      </c>
      <c r="N117" s="29">
        <f t="shared" si="67"/>
        <v>0.1471</v>
      </c>
      <c r="O117" s="29">
        <f>INPUT!E$88</f>
        <v>0</v>
      </c>
      <c r="P117" s="29">
        <f t="shared" si="90"/>
        <v>0.1471</v>
      </c>
      <c r="Q117" s="29">
        <f t="shared" si="86"/>
        <v>0.0041</v>
      </c>
      <c r="R117" s="137">
        <f t="shared" si="87"/>
        <v>0.17</v>
      </c>
      <c r="S117" s="139"/>
      <c r="T117" s="153">
        <v>0.3</v>
      </c>
      <c r="U117" s="103">
        <f>R117-T127</f>
        <v>-2.5</v>
      </c>
    </row>
    <row r="118" spans="1:21" ht="14.25" thickBot="1" thickTop="1">
      <c r="A118" s="20" t="s">
        <v>94</v>
      </c>
      <c r="B118" s="35">
        <f>'CNTNR COST'!G116</f>
        <v>0.4997</v>
      </c>
      <c r="C118" s="25">
        <f>C112</f>
        <v>0.1969</v>
      </c>
      <c r="D118" s="36">
        <f>+$D$17</f>
        <v>0.1316</v>
      </c>
      <c r="E118" s="39">
        <f>ROUND($E$11,4)</f>
        <v>0</v>
      </c>
      <c r="F118" s="39">
        <f>ROUND($F$11,4)</f>
        <v>0.0106</v>
      </c>
      <c r="G118" s="36">
        <f t="shared" si="88"/>
        <v>0.8388</v>
      </c>
      <c r="H118" s="36">
        <f t="shared" si="66"/>
        <v>0.030422797927461165</v>
      </c>
      <c r="I118" s="36">
        <f t="shared" si="89"/>
        <v>0.8692</v>
      </c>
      <c r="J118" s="36">
        <f>J$11</f>
        <v>-0.1305</v>
      </c>
      <c r="K118" s="36">
        <f>K$11</f>
        <v>0.2437</v>
      </c>
      <c r="L118" s="135">
        <f t="shared" si="85"/>
        <v>0.9824</v>
      </c>
      <c r="M118" s="41">
        <v>2.1131</v>
      </c>
      <c r="N118" s="41">
        <f t="shared" si="67"/>
        <v>0.8645</v>
      </c>
      <c r="O118" s="41">
        <f>INPUT!E$89</f>
        <v>0</v>
      </c>
      <c r="P118" s="41">
        <f t="shared" si="90"/>
        <v>0.8645</v>
      </c>
      <c r="Q118" s="41">
        <f t="shared" si="86"/>
        <v>0.024</v>
      </c>
      <c r="R118" s="138">
        <f t="shared" si="87"/>
        <v>0.99</v>
      </c>
      <c r="S118" s="139"/>
      <c r="T118" s="154">
        <v>2.13</v>
      </c>
      <c r="U118" s="104">
        <f>R118-T128</f>
        <v>0.99</v>
      </c>
    </row>
    <row r="119" spans="1:20" ht="14.25" thickBot="1" thickTop="1">
      <c r="A119" s="37" t="s">
        <v>55</v>
      </c>
      <c r="L119" s="42"/>
      <c r="M119" s="42"/>
      <c r="N119" s="42"/>
      <c r="O119" s="42"/>
      <c r="P119" s="42"/>
      <c r="Q119" s="42"/>
      <c r="R119" s="139"/>
      <c r="S119" s="139"/>
      <c r="T119" s="155"/>
    </row>
    <row r="120" spans="1:21" ht="14.25" thickBot="1" thickTop="1">
      <c r="A120" s="20" t="s">
        <v>63</v>
      </c>
      <c r="B120" s="34">
        <f>'CNTNR COST'!G118</f>
        <v>0.7916</v>
      </c>
      <c r="C120" s="24">
        <f>C121*2</f>
        <v>0.3938</v>
      </c>
      <c r="D120" s="24">
        <f>+$D$10</f>
        <v>-0.0867</v>
      </c>
      <c r="E120" s="38">
        <f>ROUND($E$11*2,4)</f>
        <v>0</v>
      </c>
      <c r="F120" s="38">
        <f>ROUND($F$11*2,4)</f>
        <v>0.0212</v>
      </c>
      <c r="G120" s="24">
        <f aca="true" t="shared" si="91" ref="G120:G127">ROUND(SUM(B120:F120),4)</f>
        <v>1.1199</v>
      </c>
      <c r="H120" s="24">
        <f t="shared" si="66"/>
        <v>0.040618134715025844</v>
      </c>
      <c r="I120" s="24">
        <f aca="true" t="shared" si="92" ref="I120:I127">ROUND(G120+H120,4)</f>
        <v>1.1605</v>
      </c>
      <c r="J120" s="24">
        <f>ROUND(J$11*2,4)</f>
        <v>-0.261</v>
      </c>
      <c r="K120" s="24">
        <f>ROUND(K$11*2,4)</f>
        <v>0.4874</v>
      </c>
      <c r="L120" s="133">
        <f aca="true" t="shared" si="93" ref="L120:L127">ROUND(SUM(I120:K120),4)</f>
        <v>1.3869</v>
      </c>
      <c r="M120" s="40">
        <v>5.24</v>
      </c>
      <c r="N120" s="40">
        <f t="shared" si="67"/>
        <v>1.2205</v>
      </c>
      <c r="O120" s="40">
        <f>INPUT!E$82</f>
        <v>0</v>
      </c>
      <c r="P120" s="40">
        <f>N120+O120</f>
        <v>1.2205</v>
      </c>
      <c r="Q120" s="40">
        <f t="shared" si="86"/>
        <v>0.0339</v>
      </c>
      <c r="R120" s="136">
        <f t="shared" si="87"/>
        <v>1.39</v>
      </c>
      <c r="S120" s="139"/>
      <c r="T120" s="152">
        <v>5.28</v>
      </c>
      <c r="U120" s="102">
        <f>R120-T130</f>
        <v>-1.57</v>
      </c>
    </row>
    <row r="121" spans="1:21" ht="14.25" thickBot="1" thickTop="1">
      <c r="A121" s="20" t="s">
        <v>14</v>
      </c>
      <c r="B121" s="26">
        <f>'CNTNR COST'!G119</f>
        <v>0.3958</v>
      </c>
      <c r="C121" s="25">
        <f>CREAM_ADDON</f>
        <v>0.1969</v>
      </c>
      <c r="D121" s="25">
        <f>+$D$11</f>
        <v>0.1131</v>
      </c>
      <c r="E121" s="30">
        <f>ENERGY_ADDON</f>
        <v>0</v>
      </c>
      <c r="F121" s="30">
        <f>ROUND(COST_UPDATE_ADJ,4)</f>
        <v>0.0106</v>
      </c>
      <c r="G121" s="25">
        <f t="shared" si="91"/>
        <v>0.7164</v>
      </c>
      <c r="H121" s="25">
        <f t="shared" si="66"/>
        <v>0.025983419689119214</v>
      </c>
      <c r="I121" s="25">
        <f t="shared" si="92"/>
        <v>0.7424</v>
      </c>
      <c r="J121" s="25">
        <f>$J$11</f>
        <v>-0.1305</v>
      </c>
      <c r="K121" s="25">
        <f>$K$11</f>
        <v>0.2437</v>
      </c>
      <c r="L121" s="134">
        <f t="shared" si="93"/>
        <v>0.8556</v>
      </c>
      <c r="M121" s="29">
        <v>2.6662</v>
      </c>
      <c r="N121" s="29">
        <f t="shared" si="67"/>
        <v>0.7529</v>
      </c>
      <c r="O121" s="29">
        <f>INPUT!E$83</f>
        <v>0</v>
      </c>
      <c r="P121" s="29">
        <f aca="true" t="shared" si="94" ref="P121:P127">O121+N121</f>
        <v>0.7529</v>
      </c>
      <c r="Q121" s="29">
        <f t="shared" si="86"/>
        <v>0.0209</v>
      </c>
      <c r="R121" s="137">
        <f t="shared" si="87"/>
        <v>0.86</v>
      </c>
      <c r="S121" s="139"/>
      <c r="T121" s="153">
        <v>2.69</v>
      </c>
      <c r="U121" s="103">
        <f>R121-T131</f>
        <v>-0.65</v>
      </c>
    </row>
    <row r="122" spans="1:21" ht="14.25" thickBot="1" thickTop="1">
      <c r="A122" s="20" t="s">
        <v>15</v>
      </c>
      <c r="B122" s="26">
        <f>'CNTNR COST'!G120</f>
        <v>0.1979</v>
      </c>
      <c r="C122" s="25">
        <f>ROUND(C121/2,4)</f>
        <v>0.0985</v>
      </c>
      <c r="D122" s="25">
        <f>+$D$12</f>
        <v>0.1039</v>
      </c>
      <c r="E122" s="30">
        <f>ROUND($E$11/2,4)</f>
        <v>0</v>
      </c>
      <c r="F122" s="30">
        <f>ROUND($F$11/2,4)</f>
        <v>0.0053</v>
      </c>
      <c r="G122" s="25">
        <f t="shared" si="91"/>
        <v>0.4056</v>
      </c>
      <c r="H122" s="25">
        <f t="shared" si="66"/>
        <v>0.01471088082901556</v>
      </c>
      <c r="I122" s="25">
        <f t="shared" si="92"/>
        <v>0.4203</v>
      </c>
      <c r="J122" s="25">
        <f>ROUND(J$11/2,4)</f>
        <v>-0.0653</v>
      </c>
      <c r="K122" s="25">
        <f>ROUND(K$11/2,4)</f>
        <v>0.1219</v>
      </c>
      <c r="L122" s="134">
        <f t="shared" si="93"/>
        <v>0.4769</v>
      </c>
      <c r="M122" s="29">
        <v>1.365</v>
      </c>
      <c r="N122" s="29">
        <f t="shared" si="67"/>
        <v>0.4197</v>
      </c>
      <c r="O122" s="29">
        <f>INPUT!E$84</f>
        <v>0</v>
      </c>
      <c r="P122" s="29">
        <f t="shared" si="94"/>
        <v>0.4197</v>
      </c>
      <c r="Q122" s="29">
        <f t="shared" si="86"/>
        <v>0.0116</v>
      </c>
      <c r="R122" s="137">
        <f t="shared" si="87"/>
        <v>0.48</v>
      </c>
      <c r="S122" s="139"/>
      <c r="T122" s="153">
        <v>1.38</v>
      </c>
      <c r="U122" s="103">
        <f>R122-T133</f>
        <v>-0.49</v>
      </c>
    </row>
    <row r="123" spans="1:21" ht="14.25" thickBot="1" thickTop="1">
      <c r="A123" s="20" t="s">
        <v>162</v>
      </c>
      <c r="B123" s="26">
        <f>'CNTNR COST'!G121</f>
        <v>0.325</v>
      </c>
      <c r="C123" s="25">
        <f>ROUND(C121/32*12,4)</f>
        <v>0.0738</v>
      </c>
      <c r="D123" s="29">
        <f>+$D$13</f>
        <v>0.0746</v>
      </c>
      <c r="E123" s="30">
        <f>ROUND($E$11/32*12,4)</f>
        <v>0</v>
      </c>
      <c r="F123" s="30">
        <f>ROUND($F$11/32*12,4)</f>
        <v>0.004</v>
      </c>
      <c r="G123" s="25">
        <f t="shared" si="91"/>
        <v>0.4774</v>
      </c>
      <c r="H123" s="25">
        <f t="shared" si="66"/>
        <v>0.01731502590673578</v>
      </c>
      <c r="I123" s="25">
        <f t="shared" si="92"/>
        <v>0.4947</v>
      </c>
      <c r="J123" s="25">
        <f>ROUND(J121/32*12,4)</f>
        <v>-0.0489</v>
      </c>
      <c r="K123" s="25">
        <f>ROUND(K121/32*12,4)</f>
        <v>0.0914</v>
      </c>
      <c r="L123" s="134">
        <f t="shared" si="93"/>
        <v>0.5372</v>
      </c>
      <c r="M123" s="29"/>
      <c r="N123" s="29">
        <f t="shared" si="67"/>
        <v>0.4727</v>
      </c>
      <c r="O123" s="29">
        <f>INPUT!E$85</f>
        <v>0</v>
      </c>
      <c r="P123" s="101">
        <f t="shared" si="94"/>
        <v>0.4727</v>
      </c>
      <c r="Q123" s="29">
        <f t="shared" si="86"/>
        <v>0.0131</v>
      </c>
      <c r="R123" s="137">
        <f t="shared" si="87"/>
        <v>0.54</v>
      </c>
      <c r="S123" s="139"/>
      <c r="T123" s="141"/>
      <c r="U123" s="103"/>
    </row>
    <row r="124" spans="1:21" ht="14.25" thickBot="1" thickTop="1">
      <c r="A124" s="20" t="s">
        <v>64</v>
      </c>
      <c r="B124" s="26">
        <f>'CNTNR COST'!G122</f>
        <v>0.1781</v>
      </c>
      <c r="C124" s="25">
        <f>ROUND(C121/32*10,4)</f>
        <v>0.0615</v>
      </c>
      <c r="D124" s="25">
        <f>+$D$14</f>
        <v>0</v>
      </c>
      <c r="E124" s="30">
        <f>ROUND($E$11/32*10,4)</f>
        <v>0</v>
      </c>
      <c r="F124" s="30">
        <f>ROUND($F$11/32*10,4)</f>
        <v>0.0033</v>
      </c>
      <c r="G124" s="25">
        <f t="shared" si="91"/>
        <v>0.2429</v>
      </c>
      <c r="H124" s="25">
        <f t="shared" si="66"/>
        <v>0.0088098445595855</v>
      </c>
      <c r="I124" s="25">
        <f t="shared" si="92"/>
        <v>0.2517</v>
      </c>
      <c r="J124" s="25">
        <f>ROUND(J$11/3,4)</f>
        <v>-0.0435</v>
      </c>
      <c r="K124" s="25">
        <f>ROUND(K$11/3,4)</f>
        <v>0.0812</v>
      </c>
      <c r="L124" s="134">
        <f t="shared" si="93"/>
        <v>0.2894</v>
      </c>
      <c r="M124" s="29">
        <v>0.8808</v>
      </c>
      <c r="N124" s="29">
        <f t="shared" si="67"/>
        <v>0.2547</v>
      </c>
      <c r="O124" s="29">
        <f>INPUT!E$86</f>
        <v>0</v>
      </c>
      <c r="P124" s="29">
        <f t="shared" si="94"/>
        <v>0.2547</v>
      </c>
      <c r="Q124" s="29">
        <f t="shared" si="86"/>
        <v>0.0071</v>
      </c>
      <c r="R124" s="137">
        <f t="shared" si="87"/>
        <v>0.29</v>
      </c>
      <c r="S124" s="139"/>
      <c r="T124" s="153">
        <v>0.89</v>
      </c>
      <c r="U124" s="103">
        <f>R124-T134</f>
        <v>-0.48000000000000004</v>
      </c>
    </row>
    <row r="125" spans="1:21" ht="14.25" thickBot="1" thickTop="1">
      <c r="A125" s="20" t="s">
        <v>65</v>
      </c>
      <c r="B125" s="26">
        <f>'CNTNR COST'!G123</f>
        <v>0.099</v>
      </c>
      <c r="C125" s="25">
        <f>ROUND(C121/4,4)</f>
        <v>0.0492</v>
      </c>
      <c r="D125" s="25">
        <f>+$D$15</f>
        <v>0.0231</v>
      </c>
      <c r="E125" s="30">
        <f>ROUND($E$11/4,4)</f>
        <v>0</v>
      </c>
      <c r="F125" s="30">
        <f>ROUND($F$11/4,4)</f>
        <v>0.0027</v>
      </c>
      <c r="G125" s="25">
        <f t="shared" si="91"/>
        <v>0.174</v>
      </c>
      <c r="H125" s="25">
        <f t="shared" si="66"/>
        <v>0.006310880829015542</v>
      </c>
      <c r="I125" s="25">
        <f t="shared" si="92"/>
        <v>0.1803</v>
      </c>
      <c r="J125" s="25">
        <f>ROUND(J$11/4,4)</f>
        <v>-0.0326</v>
      </c>
      <c r="K125" s="25">
        <f>ROUND(K$11/4,4)</f>
        <v>0.0609</v>
      </c>
      <c r="L125" s="134">
        <f t="shared" si="93"/>
        <v>0.2086</v>
      </c>
      <c r="M125" s="29">
        <v>0.6925</v>
      </c>
      <c r="N125" s="29">
        <f t="shared" si="67"/>
        <v>0.1836</v>
      </c>
      <c r="O125" s="29">
        <f>INPUT!E$87</f>
        <v>0</v>
      </c>
      <c r="P125" s="29">
        <f t="shared" si="94"/>
        <v>0.1836</v>
      </c>
      <c r="Q125" s="29">
        <f t="shared" si="86"/>
        <v>0.0051</v>
      </c>
      <c r="R125" s="137">
        <f t="shared" si="87"/>
        <v>0.21</v>
      </c>
      <c r="S125" s="139"/>
      <c r="T125" s="153">
        <v>0.7</v>
      </c>
      <c r="U125" s="103">
        <f>R125-T135</f>
        <v>-0.19000000000000003</v>
      </c>
    </row>
    <row r="126" spans="1:21" ht="14.25" thickBot="1" thickTop="1">
      <c r="A126" s="20" t="s">
        <v>66</v>
      </c>
      <c r="B126" s="26">
        <f>'CNTNR COST'!G124</f>
        <v>0.0854</v>
      </c>
      <c r="C126" s="25">
        <f>ROUND(C121/8,4)</f>
        <v>0.0246</v>
      </c>
      <c r="D126" s="25">
        <f>+$D$16</f>
        <v>0.0363</v>
      </c>
      <c r="E126" s="30">
        <f>ROUND($E$11/8,4)</f>
        <v>0</v>
      </c>
      <c r="F126" s="30">
        <f>ROUND($F$11/8,4)</f>
        <v>0.0013</v>
      </c>
      <c r="G126" s="25">
        <f t="shared" si="91"/>
        <v>0.1476</v>
      </c>
      <c r="H126" s="25">
        <f t="shared" si="66"/>
        <v>0.005353367875647663</v>
      </c>
      <c r="I126" s="25">
        <f t="shared" si="92"/>
        <v>0.153</v>
      </c>
      <c r="J126" s="25">
        <f>ROUND(J$11/8,4)</f>
        <v>-0.0163</v>
      </c>
      <c r="K126" s="25">
        <f>ROUND(K$11/8,4)</f>
        <v>0.0305</v>
      </c>
      <c r="L126" s="134">
        <f t="shared" si="93"/>
        <v>0.1672</v>
      </c>
      <c r="M126" s="29">
        <v>0.3638</v>
      </c>
      <c r="N126" s="29">
        <f t="shared" si="67"/>
        <v>0.1471</v>
      </c>
      <c r="O126" s="29">
        <f>INPUT!E$88</f>
        <v>0</v>
      </c>
      <c r="P126" s="29">
        <f t="shared" si="94"/>
        <v>0.1471</v>
      </c>
      <c r="Q126" s="29">
        <f t="shared" si="86"/>
        <v>0.0041</v>
      </c>
      <c r="R126" s="137">
        <f t="shared" si="87"/>
        <v>0.17</v>
      </c>
      <c r="S126" s="139"/>
      <c r="T126" s="153">
        <v>0.37</v>
      </c>
      <c r="U126" s="103">
        <f>R126-T136</f>
        <v>-2.77</v>
      </c>
    </row>
    <row r="127" spans="1:21" ht="14.25" thickBot="1" thickTop="1">
      <c r="A127" s="20" t="s">
        <v>94</v>
      </c>
      <c r="B127" s="35">
        <f>'CNTNR COST'!G125</f>
        <v>0.4997</v>
      </c>
      <c r="C127" s="25">
        <f>C121</f>
        <v>0.1969</v>
      </c>
      <c r="D127" s="36">
        <f>+$D$17</f>
        <v>0.1316</v>
      </c>
      <c r="E127" s="39">
        <f>ROUND($E$11,4)</f>
        <v>0</v>
      </c>
      <c r="F127" s="39">
        <f>ROUND($F$11,4)</f>
        <v>0.0106</v>
      </c>
      <c r="G127" s="36">
        <f t="shared" si="91"/>
        <v>0.8388</v>
      </c>
      <c r="H127" s="36">
        <f t="shared" si="66"/>
        <v>0.030422797927461165</v>
      </c>
      <c r="I127" s="36">
        <f t="shared" si="92"/>
        <v>0.8692</v>
      </c>
      <c r="J127" s="36">
        <f>J$11</f>
        <v>-0.1305</v>
      </c>
      <c r="K127" s="36">
        <f>K$11</f>
        <v>0.2437</v>
      </c>
      <c r="L127" s="135">
        <f t="shared" si="93"/>
        <v>0.9824</v>
      </c>
      <c r="M127" s="41">
        <v>2.6527</v>
      </c>
      <c r="N127" s="41">
        <f t="shared" si="67"/>
        <v>0.8645</v>
      </c>
      <c r="O127" s="41">
        <f>INPUT!E$89</f>
        <v>0</v>
      </c>
      <c r="P127" s="41">
        <f t="shared" si="94"/>
        <v>0.8645</v>
      </c>
      <c r="Q127" s="41">
        <f t="shared" si="86"/>
        <v>0.024</v>
      </c>
      <c r="R127" s="138">
        <f t="shared" si="87"/>
        <v>0.99</v>
      </c>
      <c r="S127" s="139"/>
      <c r="T127" s="154">
        <v>2.67</v>
      </c>
      <c r="U127" s="104">
        <f>R127-T137</f>
        <v>0.99</v>
      </c>
    </row>
    <row r="128" spans="1:20" ht="14.25" thickBot="1" thickTop="1">
      <c r="A128" s="37" t="s">
        <v>56</v>
      </c>
      <c r="L128" s="42"/>
      <c r="M128" s="42"/>
      <c r="N128" s="42"/>
      <c r="O128" s="42"/>
      <c r="P128" s="42"/>
      <c r="Q128" s="42"/>
      <c r="R128" s="139"/>
      <c r="S128" s="139"/>
      <c r="T128" s="155"/>
    </row>
    <row r="129" spans="1:21" ht="14.25" thickBot="1" thickTop="1">
      <c r="A129" s="20" t="s">
        <v>63</v>
      </c>
      <c r="B129" s="34">
        <f>'CNTNR COST'!G127</f>
        <v>0.7916</v>
      </c>
      <c r="C129" s="24">
        <f>C130*2</f>
        <v>0.3938</v>
      </c>
      <c r="D129" s="24">
        <f>+$D$10</f>
        <v>-0.0867</v>
      </c>
      <c r="E129" s="38">
        <f>ROUND($E$11*2,4)</f>
        <v>0</v>
      </c>
      <c r="F129" s="38">
        <f>ROUND($F$11*2,4)</f>
        <v>0.0212</v>
      </c>
      <c r="G129" s="24">
        <f aca="true" t="shared" si="95" ref="G129:G136">ROUND(SUM(B129:F129),4)</f>
        <v>1.1199</v>
      </c>
      <c r="H129" s="24">
        <f t="shared" si="66"/>
        <v>0.040618134715025844</v>
      </c>
      <c r="I129" s="24">
        <f aca="true" t="shared" si="96" ref="I129:I136">ROUND(G129+H129,4)</f>
        <v>1.1605</v>
      </c>
      <c r="J129" s="24">
        <f>ROUND(J$11*2,4)</f>
        <v>-0.261</v>
      </c>
      <c r="K129" s="24">
        <f>ROUND(K$11*2,4)</f>
        <v>0.4874</v>
      </c>
      <c r="L129" s="133">
        <f aca="true" t="shared" si="97" ref="L129:L136">ROUND(SUM(I129:K129),4)</f>
        <v>1.3869</v>
      </c>
      <c r="M129" s="40">
        <v>5.7741</v>
      </c>
      <c r="N129" s="40">
        <f t="shared" si="67"/>
        <v>1.2205</v>
      </c>
      <c r="O129" s="40">
        <f>INPUT!E$82</f>
        <v>0</v>
      </c>
      <c r="P129" s="40">
        <f>N129+O129</f>
        <v>1.2205</v>
      </c>
      <c r="Q129" s="40">
        <f t="shared" si="86"/>
        <v>0.0339</v>
      </c>
      <c r="R129" s="136">
        <f t="shared" si="87"/>
        <v>1.39</v>
      </c>
      <c r="S129" s="139"/>
      <c r="T129" s="152">
        <v>5.82</v>
      </c>
      <c r="U129" s="102">
        <f>R129-T139</f>
        <v>-0.5</v>
      </c>
    </row>
    <row r="130" spans="1:21" ht="14.25" thickBot="1" thickTop="1">
      <c r="A130" s="20" t="s">
        <v>14</v>
      </c>
      <c r="B130" s="26">
        <f>'CNTNR COST'!G128</f>
        <v>0.3958</v>
      </c>
      <c r="C130" s="25">
        <f>CREAM_ADDON</f>
        <v>0.1969</v>
      </c>
      <c r="D130" s="25">
        <f>+$D$11</f>
        <v>0.1131</v>
      </c>
      <c r="E130" s="30">
        <f>ENERGY_ADDON</f>
        <v>0</v>
      </c>
      <c r="F130" s="30">
        <f>ROUND(COST_UPDATE_ADJ,4)</f>
        <v>0.0106</v>
      </c>
      <c r="G130" s="25">
        <f t="shared" si="95"/>
        <v>0.7164</v>
      </c>
      <c r="H130" s="25">
        <f t="shared" si="66"/>
        <v>0.025983419689119214</v>
      </c>
      <c r="I130" s="25">
        <f t="shared" si="96"/>
        <v>0.7424</v>
      </c>
      <c r="J130" s="25">
        <f>$J$11</f>
        <v>-0.1305</v>
      </c>
      <c r="K130" s="25">
        <f>$K$11</f>
        <v>0.2437</v>
      </c>
      <c r="L130" s="134">
        <f t="shared" si="97"/>
        <v>0.8556</v>
      </c>
      <c r="M130" s="29">
        <v>2.9333</v>
      </c>
      <c r="N130" s="29">
        <f t="shared" si="67"/>
        <v>0.7529</v>
      </c>
      <c r="O130" s="29">
        <f>INPUT!E$83</f>
        <v>0</v>
      </c>
      <c r="P130" s="29">
        <f aca="true" t="shared" si="98" ref="P130:P136">O130+N130</f>
        <v>0.7529</v>
      </c>
      <c r="Q130" s="29">
        <f t="shared" si="86"/>
        <v>0.0209</v>
      </c>
      <c r="R130" s="137">
        <f t="shared" si="87"/>
        <v>0.86</v>
      </c>
      <c r="S130" s="139"/>
      <c r="T130" s="153">
        <v>2.96</v>
      </c>
      <c r="U130" s="103">
        <f>R130-T140</f>
        <v>-0.09999999999999998</v>
      </c>
    </row>
    <row r="131" spans="1:21" ht="14.25" thickBot="1" thickTop="1">
      <c r="A131" s="20" t="s">
        <v>15</v>
      </c>
      <c r="B131" s="26">
        <f>'CNTNR COST'!G129</f>
        <v>0.1979</v>
      </c>
      <c r="C131" s="25">
        <f>ROUND(C130/2,4)</f>
        <v>0.0985</v>
      </c>
      <c r="D131" s="25">
        <f>+$D$12</f>
        <v>0.1039</v>
      </c>
      <c r="E131" s="30">
        <f>ROUND($E$11/2,4)</f>
        <v>0</v>
      </c>
      <c r="F131" s="30">
        <f>ROUND($F$11/2,4)</f>
        <v>0.0053</v>
      </c>
      <c r="G131" s="25">
        <f t="shared" si="95"/>
        <v>0.4056</v>
      </c>
      <c r="H131" s="25">
        <f t="shared" si="66"/>
        <v>0.01471088082901556</v>
      </c>
      <c r="I131" s="25">
        <f t="shared" si="96"/>
        <v>0.4203</v>
      </c>
      <c r="J131" s="25">
        <f>ROUND(J$11/2,4)</f>
        <v>-0.0653</v>
      </c>
      <c r="K131" s="25">
        <f>ROUND(K$11/2,4)</f>
        <v>0.1219</v>
      </c>
      <c r="L131" s="134">
        <f t="shared" si="97"/>
        <v>0.4769</v>
      </c>
      <c r="M131" s="29">
        <v>1.4985</v>
      </c>
      <c r="N131" s="29">
        <f t="shared" si="67"/>
        <v>0.4197</v>
      </c>
      <c r="O131" s="29">
        <f>INPUT!E$84</f>
        <v>0</v>
      </c>
      <c r="P131" s="29">
        <f t="shared" si="98"/>
        <v>0.4197</v>
      </c>
      <c r="Q131" s="29">
        <f t="shared" si="86"/>
        <v>0.0116</v>
      </c>
      <c r="R131" s="137">
        <f t="shared" si="87"/>
        <v>0.48</v>
      </c>
      <c r="S131" s="139"/>
      <c r="T131" s="153">
        <v>1.51</v>
      </c>
      <c r="U131" s="103">
        <f>R131-T142</f>
        <v>-0.13</v>
      </c>
    </row>
    <row r="132" spans="1:21" ht="14.25" thickBot="1" thickTop="1">
      <c r="A132" s="20" t="s">
        <v>162</v>
      </c>
      <c r="B132" s="26">
        <f>'CNTNR COST'!G130</f>
        <v>0.325</v>
      </c>
      <c r="C132" s="25">
        <f>ROUND(C130/32*12,4)</f>
        <v>0.0738</v>
      </c>
      <c r="D132" s="29">
        <f>+$D$13</f>
        <v>0.0746</v>
      </c>
      <c r="E132" s="30">
        <f>ROUND($E$11/32*12,4)</f>
        <v>0</v>
      </c>
      <c r="F132" s="30">
        <f>ROUND($F$11/32*12,4)</f>
        <v>0.004</v>
      </c>
      <c r="G132" s="25">
        <f t="shared" si="95"/>
        <v>0.4774</v>
      </c>
      <c r="H132" s="25">
        <f t="shared" si="66"/>
        <v>0.01731502590673578</v>
      </c>
      <c r="I132" s="25">
        <f t="shared" si="96"/>
        <v>0.4947</v>
      </c>
      <c r="J132" s="25">
        <f>ROUND(J130/32*12,4)</f>
        <v>-0.0489</v>
      </c>
      <c r="K132" s="25">
        <f>ROUND(K130/32*12,4)</f>
        <v>0.0914</v>
      </c>
      <c r="L132" s="134">
        <f t="shared" si="97"/>
        <v>0.5372</v>
      </c>
      <c r="M132" s="29"/>
      <c r="N132" s="29">
        <f t="shared" si="67"/>
        <v>0.4727</v>
      </c>
      <c r="O132" s="29">
        <f>INPUT!E$85</f>
        <v>0</v>
      </c>
      <c r="P132" s="101">
        <f t="shared" si="98"/>
        <v>0.4727</v>
      </c>
      <c r="Q132" s="29">
        <f t="shared" si="86"/>
        <v>0.0131</v>
      </c>
      <c r="R132" s="137">
        <f t="shared" si="87"/>
        <v>0.54</v>
      </c>
      <c r="S132" s="139"/>
      <c r="T132" s="141"/>
      <c r="U132" s="103"/>
    </row>
    <row r="133" spans="1:21" ht="14.25" thickBot="1" thickTop="1">
      <c r="A133" s="20" t="s">
        <v>64</v>
      </c>
      <c r="B133" s="26">
        <f>'CNTNR COST'!G131</f>
        <v>0.1781</v>
      </c>
      <c r="C133" s="25">
        <f>ROUND(C130/32*10,4)</f>
        <v>0.0615</v>
      </c>
      <c r="D133" s="25">
        <f>+$D$14</f>
        <v>0</v>
      </c>
      <c r="E133" s="30">
        <f>ROUND($E$11/32*10,4)</f>
        <v>0</v>
      </c>
      <c r="F133" s="30">
        <f>ROUND($F$11/32*10,4)</f>
        <v>0.0033</v>
      </c>
      <c r="G133" s="25">
        <f t="shared" si="95"/>
        <v>0.2429</v>
      </c>
      <c r="H133" s="25">
        <f t="shared" si="66"/>
        <v>0.0088098445595855</v>
      </c>
      <c r="I133" s="25">
        <f t="shared" si="96"/>
        <v>0.2517</v>
      </c>
      <c r="J133" s="25">
        <f>ROUND(J$11/3,4)</f>
        <v>-0.0435</v>
      </c>
      <c r="K133" s="25">
        <f>ROUND(K$11/3,4)</f>
        <v>0.0812</v>
      </c>
      <c r="L133" s="134">
        <f t="shared" si="97"/>
        <v>0.2894</v>
      </c>
      <c r="M133" s="29">
        <v>0.9643</v>
      </c>
      <c r="N133" s="29">
        <f t="shared" si="67"/>
        <v>0.2547</v>
      </c>
      <c r="O133" s="29">
        <f>INPUT!E$86</f>
        <v>0</v>
      </c>
      <c r="P133" s="29">
        <f t="shared" si="98"/>
        <v>0.2547</v>
      </c>
      <c r="Q133" s="29">
        <f t="shared" si="86"/>
        <v>0.0071</v>
      </c>
      <c r="R133" s="137">
        <f t="shared" si="87"/>
        <v>0.29</v>
      </c>
      <c r="S133" s="139"/>
      <c r="T133" s="153">
        <v>0.97</v>
      </c>
      <c r="U133" s="103">
        <f>R133-T143</f>
        <v>-0.21000000000000002</v>
      </c>
    </row>
    <row r="134" spans="1:21" ht="14.25" thickBot="1" thickTop="1">
      <c r="A134" s="20" t="s">
        <v>65</v>
      </c>
      <c r="B134" s="26">
        <f>'CNTNR COST'!G132</f>
        <v>0.099</v>
      </c>
      <c r="C134" s="25">
        <f>ROUND(C130/4,4)</f>
        <v>0.0492</v>
      </c>
      <c r="D134" s="25">
        <f>+$D$15</f>
        <v>0.0231</v>
      </c>
      <c r="E134" s="30">
        <f>ROUND($E$11/4,4)</f>
        <v>0</v>
      </c>
      <c r="F134" s="30">
        <f>ROUND($F$11/4,4)</f>
        <v>0.0027</v>
      </c>
      <c r="G134" s="25">
        <f t="shared" si="95"/>
        <v>0.174</v>
      </c>
      <c r="H134" s="25">
        <f t="shared" si="66"/>
        <v>0.006310880829015542</v>
      </c>
      <c r="I134" s="25">
        <f t="shared" si="96"/>
        <v>0.1803</v>
      </c>
      <c r="J134" s="25">
        <f>ROUND(J$11/4,4)</f>
        <v>-0.0326</v>
      </c>
      <c r="K134" s="25">
        <f>ROUND(K$11/4,4)</f>
        <v>0.0609</v>
      </c>
      <c r="L134" s="134">
        <f t="shared" si="97"/>
        <v>0.2086</v>
      </c>
      <c r="M134" s="29">
        <v>0.7593</v>
      </c>
      <c r="N134" s="29">
        <f t="shared" si="67"/>
        <v>0.1836</v>
      </c>
      <c r="O134" s="29">
        <f>INPUT!E$87</f>
        <v>0</v>
      </c>
      <c r="P134" s="29">
        <f t="shared" si="98"/>
        <v>0.1836</v>
      </c>
      <c r="Q134" s="29">
        <f t="shared" si="86"/>
        <v>0.0051</v>
      </c>
      <c r="R134" s="137">
        <f t="shared" si="87"/>
        <v>0.21</v>
      </c>
      <c r="S134" s="139"/>
      <c r="T134" s="153">
        <v>0.77</v>
      </c>
      <c r="U134" s="103">
        <f>R134-T144</f>
        <v>-0.05000000000000002</v>
      </c>
    </row>
    <row r="135" spans="1:21" ht="14.25" thickBot="1" thickTop="1">
      <c r="A135" s="20" t="s">
        <v>66</v>
      </c>
      <c r="B135" s="26">
        <f>'CNTNR COST'!G133</f>
        <v>0.0854</v>
      </c>
      <c r="C135" s="25">
        <f>ROUND(C130/8,4)</f>
        <v>0.0246</v>
      </c>
      <c r="D135" s="25">
        <f>+$D$16</f>
        <v>0.0363</v>
      </c>
      <c r="E135" s="30">
        <f>ROUND($E$11/8,4)</f>
        <v>0</v>
      </c>
      <c r="F135" s="30">
        <f>ROUND($F$11/8,4)</f>
        <v>0.0013</v>
      </c>
      <c r="G135" s="25">
        <f t="shared" si="95"/>
        <v>0.1476</v>
      </c>
      <c r="H135" s="25">
        <f t="shared" si="66"/>
        <v>0.005353367875647663</v>
      </c>
      <c r="I135" s="25">
        <f t="shared" si="96"/>
        <v>0.153</v>
      </c>
      <c r="J135" s="25">
        <f>ROUND(J$11/8,4)</f>
        <v>-0.0163</v>
      </c>
      <c r="K135" s="25">
        <f>ROUND(K$11/8,4)</f>
        <v>0.0305</v>
      </c>
      <c r="L135" s="134">
        <f t="shared" si="97"/>
        <v>0.1672</v>
      </c>
      <c r="M135" s="29">
        <v>0.3972</v>
      </c>
      <c r="N135" s="29">
        <f t="shared" si="67"/>
        <v>0.1471</v>
      </c>
      <c r="O135" s="29">
        <f>INPUT!E$88</f>
        <v>0</v>
      </c>
      <c r="P135" s="29">
        <f t="shared" si="98"/>
        <v>0.1471</v>
      </c>
      <c r="Q135" s="29">
        <f t="shared" si="86"/>
        <v>0.0041</v>
      </c>
      <c r="R135" s="137">
        <f t="shared" si="87"/>
        <v>0.17</v>
      </c>
      <c r="S135" s="139"/>
      <c r="T135" s="153">
        <v>0.4</v>
      </c>
      <c r="U135" s="103">
        <f>R135-T145</f>
        <v>-1.75</v>
      </c>
    </row>
    <row r="136" spans="1:21" ht="14.25" thickBot="1" thickTop="1">
      <c r="A136" s="20" t="s">
        <v>94</v>
      </c>
      <c r="B136" s="35">
        <f>'CNTNR COST'!G134</f>
        <v>0.4997</v>
      </c>
      <c r="C136" s="25">
        <f>C130</f>
        <v>0.1969</v>
      </c>
      <c r="D136" s="36">
        <f>+$D$17</f>
        <v>0.1316</v>
      </c>
      <c r="E136" s="39">
        <f>ROUND($E$11,4)</f>
        <v>0</v>
      </c>
      <c r="F136" s="39">
        <f>ROUND($F$11,4)</f>
        <v>0.0106</v>
      </c>
      <c r="G136" s="36">
        <f t="shared" si="95"/>
        <v>0.8388</v>
      </c>
      <c r="H136" s="36">
        <f t="shared" si="66"/>
        <v>0.030422797927461165</v>
      </c>
      <c r="I136" s="36">
        <f t="shared" si="96"/>
        <v>0.8692</v>
      </c>
      <c r="J136" s="36">
        <f>J$11</f>
        <v>-0.1305</v>
      </c>
      <c r="K136" s="36">
        <f>K$11</f>
        <v>0.2437</v>
      </c>
      <c r="L136" s="135">
        <f t="shared" si="97"/>
        <v>0.9824</v>
      </c>
      <c r="M136" s="41">
        <v>2.9198</v>
      </c>
      <c r="N136" s="41">
        <f t="shared" si="67"/>
        <v>0.8645</v>
      </c>
      <c r="O136" s="41">
        <f>INPUT!E$89</f>
        <v>0</v>
      </c>
      <c r="P136" s="41">
        <f t="shared" si="98"/>
        <v>0.8645</v>
      </c>
      <c r="Q136" s="41">
        <f t="shared" si="86"/>
        <v>0.024</v>
      </c>
      <c r="R136" s="138">
        <f t="shared" si="87"/>
        <v>0.99</v>
      </c>
      <c r="S136" s="139"/>
      <c r="T136" s="154">
        <v>2.94</v>
      </c>
      <c r="U136" s="104">
        <f>R136-T146</f>
        <v>0.99</v>
      </c>
    </row>
    <row r="137" spans="1:20" ht="14.25" thickBot="1" thickTop="1">
      <c r="A137" s="37" t="s">
        <v>73</v>
      </c>
      <c r="L137" s="42"/>
      <c r="M137" s="42"/>
      <c r="N137" s="42"/>
      <c r="O137" s="42"/>
      <c r="P137" s="42"/>
      <c r="Q137" s="42"/>
      <c r="R137" s="139"/>
      <c r="S137" s="139"/>
      <c r="T137" s="155"/>
    </row>
    <row r="138" spans="1:21" ht="14.25" thickBot="1" thickTop="1">
      <c r="A138" s="20" t="s">
        <v>63</v>
      </c>
      <c r="B138" s="34">
        <f>'CNTNR COST'!G136</f>
        <v>0.7916</v>
      </c>
      <c r="C138" s="24">
        <f>+C139*2</f>
        <v>1.3896</v>
      </c>
      <c r="D138" s="24">
        <f>+$D$10</f>
        <v>-0.0867</v>
      </c>
      <c r="E138" s="38">
        <f>ROUND($E$11*2,4)</f>
        <v>0</v>
      </c>
      <c r="F138" s="38">
        <f>ROUND($F$11*2,4)</f>
        <v>0.0212</v>
      </c>
      <c r="G138" s="24">
        <f aca="true" t="shared" si="99" ref="G138:G145">ROUND(SUM(B138:F138),4)</f>
        <v>2.1157</v>
      </c>
      <c r="H138" s="24">
        <f t="shared" si="66"/>
        <v>0.0767352331606217</v>
      </c>
      <c r="I138" s="24">
        <f aca="true" t="shared" si="100" ref="I138:I145">ROUND(G138+H138,4)</f>
        <v>2.1924</v>
      </c>
      <c r="J138" s="24">
        <f>ROUND(J$11*2,4)</f>
        <v>-0.261</v>
      </c>
      <c r="K138" s="24">
        <f>ROUND(K$11*2,4)</f>
        <v>0.4874</v>
      </c>
      <c r="L138" s="133">
        <f aca="true" t="shared" si="101" ref="L138:L145">ROUND(SUM(I138:K138),4)</f>
        <v>2.4188</v>
      </c>
      <c r="M138" s="40">
        <v>3.7232</v>
      </c>
      <c r="N138" s="40">
        <f t="shared" si="67"/>
        <v>2.1285</v>
      </c>
      <c r="O138" s="40">
        <f>INPUT!E$82</f>
        <v>0</v>
      </c>
      <c r="P138" s="40">
        <f>N138+O138</f>
        <v>2.1285</v>
      </c>
      <c r="Q138" s="40">
        <f t="shared" si="86"/>
        <v>0.0591</v>
      </c>
      <c r="R138" s="136">
        <f t="shared" si="87"/>
        <v>2.42</v>
      </c>
      <c r="S138" s="139"/>
      <c r="T138" s="152">
        <v>3.75</v>
      </c>
      <c r="U138" s="102">
        <f>R138-T148</f>
        <v>2.42</v>
      </c>
    </row>
    <row r="139" spans="1:21" ht="14.25" thickBot="1" thickTop="1">
      <c r="A139" s="20" t="s">
        <v>14</v>
      </c>
      <c r="B139" s="26">
        <f>'CNTNR COST'!G137</f>
        <v>0.3958</v>
      </c>
      <c r="C139" s="25">
        <f>SC_ADDON</f>
        <v>0.6948</v>
      </c>
      <c r="D139" s="25">
        <f>+$D$11</f>
        <v>0.1131</v>
      </c>
      <c r="E139" s="30">
        <f>ENERGY_ADDON</f>
        <v>0</v>
      </c>
      <c r="F139" s="30">
        <f>ROUND(COST_UPDATE_ADJ,4)</f>
        <v>0.0106</v>
      </c>
      <c r="G139" s="25">
        <f t="shared" si="99"/>
        <v>1.2143</v>
      </c>
      <c r="H139" s="25">
        <f t="shared" si="66"/>
        <v>0.04404196891191714</v>
      </c>
      <c r="I139" s="25">
        <f t="shared" si="100"/>
        <v>1.2583</v>
      </c>
      <c r="J139" s="25">
        <f>$J$11</f>
        <v>-0.1305</v>
      </c>
      <c r="K139" s="25">
        <f>$K$11</f>
        <v>0.2437</v>
      </c>
      <c r="L139" s="134">
        <f t="shared" si="101"/>
        <v>1.3715</v>
      </c>
      <c r="M139" s="29">
        <v>1.8696</v>
      </c>
      <c r="N139" s="29">
        <f t="shared" si="67"/>
        <v>1.2069</v>
      </c>
      <c r="O139" s="29">
        <f>INPUT!E$83</f>
        <v>0</v>
      </c>
      <c r="P139" s="29">
        <f aca="true" t="shared" si="102" ref="P139:P145">O139+N139</f>
        <v>1.2069</v>
      </c>
      <c r="Q139" s="29">
        <f t="shared" si="86"/>
        <v>0.0335</v>
      </c>
      <c r="R139" s="137">
        <f t="shared" si="87"/>
        <v>1.38</v>
      </c>
      <c r="S139" s="139"/>
      <c r="T139" s="153">
        <v>1.89</v>
      </c>
      <c r="U139" s="103">
        <f>R139-T149</f>
        <v>1.38</v>
      </c>
    </row>
    <row r="140" spans="1:21" ht="14.25" thickBot="1" thickTop="1">
      <c r="A140" s="20" t="s">
        <v>15</v>
      </c>
      <c r="B140" s="26">
        <f>'CNTNR COST'!G138</f>
        <v>0.1979</v>
      </c>
      <c r="C140" s="25">
        <f>ROUND(C139/2,4)</f>
        <v>0.3474</v>
      </c>
      <c r="D140" s="25">
        <f>+$D$12</f>
        <v>0.1039</v>
      </c>
      <c r="E140" s="30">
        <f>ROUND($E$11/2,4)</f>
        <v>0</v>
      </c>
      <c r="F140" s="30">
        <f>ROUND($F$11/2,4)</f>
        <v>0.0053</v>
      </c>
      <c r="G140" s="25">
        <f t="shared" si="99"/>
        <v>0.6545</v>
      </c>
      <c r="H140" s="25">
        <f t="shared" si="66"/>
        <v>0.02373834196891189</v>
      </c>
      <c r="I140" s="25">
        <f t="shared" si="100"/>
        <v>0.6782</v>
      </c>
      <c r="J140" s="25">
        <f>ROUND(J$11/2,4)</f>
        <v>-0.0653</v>
      </c>
      <c r="K140" s="25">
        <f>ROUND(K$11/2,4)</f>
        <v>0.1219</v>
      </c>
      <c r="L140" s="134">
        <f t="shared" si="101"/>
        <v>0.7348</v>
      </c>
      <c r="M140" s="29">
        <v>0.9452</v>
      </c>
      <c r="N140" s="29">
        <f t="shared" si="67"/>
        <v>0.6466</v>
      </c>
      <c r="O140" s="29">
        <f>INPUT!E$84</f>
        <v>0</v>
      </c>
      <c r="P140" s="29">
        <f t="shared" si="102"/>
        <v>0.6466</v>
      </c>
      <c r="Q140" s="29">
        <f t="shared" si="86"/>
        <v>0.0179</v>
      </c>
      <c r="R140" s="137">
        <f t="shared" si="87"/>
        <v>0.74</v>
      </c>
      <c r="S140" s="139"/>
      <c r="T140" s="153">
        <v>0.96</v>
      </c>
      <c r="U140" s="103">
        <f>R140-T150</f>
        <v>0.74</v>
      </c>
    </row>
    <row r="141" spans="1:21" ht="14.25" thickBot="1" thickTop="1">
      <c r="A141" s="20" t="s">
        <v>162</v>
      </c>
      <c r="B141" s="26">
        <f>'CNTNR COST'!G139</f>
        <v>0.1484</v>
      </c>
      <c r="C141" s="25">
        <f>ROUND(C139/32*12,4)</f>
        <v>0.2606</v>
      </c>
      <c r="D141" s="29">
        <f>+$D$13</f>
        <v>0.0746</v>
      </c>
      <c r="E141" s="30">
        <f>ROUND($E$11/32*12,4)</f>
        <v>0</v>
      </c>
      <c r="F141" s="30">
        <f>ROUND($F$11/32*12,4)</f>
        <v>0.004</v>
      </c>
      <c r="G141" s="25">
        <f t="shared" si="99"/>
        <v>0.4876</v>
      </c>
      <c r="H141" s="25">
        <f t="shared" si="66"/>
        <v>0.01768497409326425</v>
      </c>
      <c r="I141" s="25">
        <f t="shared" si="100"/>
        <v>0.5053</v>
      </c>
      <c r="J141" s="25">
        <f>ROUND(J139/32*12,4)</f>
        <v>-0.0489</v>
      </c>
      <c r="K141" s="25">
        <f>ROUND(K139/32*12,4)</f>
        <v>0.0914</v>
      </c>
      <c r="L141" s="134">
        <f t="shared" si="101"/>
        <v>0.5478</v>
      </c>
      <c r="M141" s="29"/>
      <c r="N141" s="29">
        <f t="shared" si="67"/>
        <v>0.4821</v>
      </c>
      <c r="O141" s="29">
        <f>INPUT!E$85</f>
        <v>0</v>
      </c>
      <c r="P141" s="101">
        <f t="shared" si="102"/>
        <v>0.4821</v>
      </c>
      <c r="Q141" s="29">
        <f t="shared" si="86"/>
        <v>0.0134</v>
      </c>
      <c r="R141" s="137">
        <f t="shared" si="87"/>
        <v>0.55</v>
      </c>
      <c r="S141" s="139"/>
      <c r="T141" s="141"/>
      <c r="U141" s="103"/>
    </row>
    <row r="142" spans="1:21" ht="14.25" thickBot="1" thickTop="1">
      <c r="A142" s="20" t="s">
        <v>64</v>
      </c>
      <c r="B142" s="26">
        <f>'CNTNR COST'!G140</f>
        <v>0.1237</v>
      </c>
      <c r="C142" s="25">
        <f>ROUND(C139/32*10,4)</f>
        <v>0.2171</v>
      </c>
      <c r="D142" s="25">
        <f>+$D$14</f>
        <v>0</v>
      </c>
      <c r="E142" s="30">
        <f>ROUND($E$11/32*10,4)</f>
        <v>0</v>
      </c>
      <c r="F142" s="30">
        <f>ROUND($F$11/32*10,4)</f>
        <v>0.0033</v>
      </c>
      <c r="G142" s="25">
        <f t="shared" si="99"/>
        <v>0.3441</v>
      </c>
      <c r="H142" s="25">
        <f t="shared" si="66"/>
        <v>0.012480310880829015</v>
      </c>
      <c r="I142" s="25">
        <f t="shared" si="100"/>
        <v>0.3566</v>
      </c>
      <c r="J142" s="25">
        <f>ROUND(J$11/3,4)</f>
        <v>-0.0435</v>
      </c>
      <c r="K142" s="25">
        <f>ROUND(K$11/3,4)</f>
        <v>0.0812</v>
      </c>
      <c r="L142" s="134">
        <f t="shared" si="101"/>
        <v>0.3943</v>
      </c>
      <c r="M142" s="29">
        <v>0.5986</v>
      </c>
      <c r="N142" s="29">
        <f t="shared" si="67"/>
        <v>0.347</v>
      </c>
      <c r="O142" s="29">
        <f>INPUT!E$86</f>
        <v>0</v>
      </c>
      <c r="P142" s="29">
        <f t="shared" si="102"/>
        <v>0.347</v>
      </c>
      <c r="Q142" s="29">
        <f t="shared" si="86"/>
        <v>0.0096</v>
      </c>
      <c r="R142" s="137">
        <f t="shared" si="87"/>
        <v>0.4</v>
      </c>
      <c r="S142" s="139"/>
      <c r="T142" s="153">
        <v>0.61</v>
      </c>
      <c r="U142" s="103">
        <f>R142-T151</f>
        <v>0.4</v>
      </c>
    </row>
    <row r="143" spans="1:21" ht="14.25" thickBot="1" thickTop="1">
      <c r="A143" s="20" t="s">
        <v>65</v>
      </c>
      <c r="B143" s="26">
        <f>'CNTNR COST'!G141</f>
        <v>0.099</v>
      </c>
      <c r="C143" s="25">
        <f>ROUND(C139/4,4)</f>
        <v>0.1737</v>
      </c>
      <c r="D143" s="25">
        <f>+$D$15</f>
        <v>0.0231</v>
      </c>
      <c r="E143" s="30">
        <f>ROUND($E$11/4,4)</f>
        <v>0</v>
      </c>
      <c r="F143" s="30">
        <f>ROUND($F$11/4,4)</f>
        <v>0.0027</v>
      </c>
      <c r="G143" s="25">
        <f t="shared" si="99"/>
        <v>0.2985</v>
      </c>
      <c r="H143" s="25">
        <f t="shared" si="66"/>
        <v>0.010826424870466311</v>
      </c>
      <c r="I143" s="25">
        <f t="shared" si="100"/>
        <v>0.3093</v>
      </c>
      <c r="J143" s="25">
        <f>ROUND(J$11/4,4)</f>
        <v>-0.0326</v>
      </c>
      <c r="K143" s="25">
        <f>ROUND(K$11/4,4)</f>
        <v>0.0609</v>
      </c>
      <c r="L143" s="134">
        <f t="shared" si="101"/>
        <v>0.3376</v>
      </c>
      <c r="M143" s="29">
        <v>0.4889</v>
      </c>
      <c r="N143" s="29">
        <f t="shared" si="67"/>
        <v>0.2971</v>
      </c>
      <c r="O143" s="29">
        <f>INPUT!E$87</f>
        <v>0</v>
      </c>
      <c r="P143" s="29">
        <f t="shared" si="102"/>
        <v>0.2971</v>
      </c>
      <c r="Q143" s="29">
        <f t="shared" si="86"/>
        <v>0.0082</v>
      </c>
      <c r="R143" s="137">
        <f t="shared" si="87"/>
        <v>0.34</v>
      </c>
      <c r="S143" s="139"/>
      <c r="T143" s="153">
        <v>0.5</v>
      </c>
      <c r="U143" s="103">
        <f>R143-T152</f>
        <v>0.34</v>
      </c>
    </row>
    <row r="144" spans="1:21" ht="14.25" thickBot="1" thickTop="1">
      <c r="A144" s="20" t="s">
        <v>66</v>
      </c>
      <c r="B144" s="26">
        <f>'CNTNR COST'!G142</f>
        <v>0.0495</v>
      </c>
      <c r="C144" s="25">
        <f>ROUND(C139/8,4)</f>
        <v>0.0869</v>
      </c>
      <c r="D144" s="25">
        <f>+$D$16</f>
        <v>0.0363</v>
      </c>
      <c r="E144" s="30">
        <f>ROUND($E$11/8,4)</f>
        <v>0</v>
      </c>
      <c r="F144" s="30">
        <f>ROUND($F$11/8,4)</f>
        <v>0.0013</v>
      </c>
      <c r="G144" s="25">
        <f t="shared" si="99"/>
        <v>0.174</v>
      </c>
      <c r="H144" s="25">
        <f t="shared" si="66"/>
        <v>0.006310880829015542</v>
      </c>
      <c r="I144" s="25">
        <f t="shared" si="100"/>
        <v>0.1803</v>
      </c>
      <c r="J144" s="25">
        <f>ROUND(J$11/8,4)</f>
        <v>-0.0163</v>
      </c>
      <c r="K144" s="25">
        <f>ROUND(K$11/8,4)</f>
        <v>0.0305</v>
      </c>
      <c r="L144" s="134">
        <f t="shared" si="101"/>
        <v>0.1945</v>
      </c>
      <c r="M144" s="29">
        <v>0.2547</v>
      </c>
      <c r="N144" s="29">
        <f t="shared" si="67"/>
        <v>0.1712</v>
      </c>
      <c r="O144" s="29">
        <f>INPUT!E$88</f>
        <v>0</v>
      </c>
      <c r="P144" s="29">
        <f t="shared" si="102"/>
        <v>0.1712</v>
      </c>
      <c r="Q144" s="29">
        <f t="shared" si="86"/>
        <v>0.0048</v>
      </c>
      <c r="R144" s="137">
        <f t="shared" si="87"/>
        <v>0.2</v>
      </c>
      <c r="S144" s="139"/>
      <c r="T144" s="153">
        <v>0.26</v>
      </c>
      <c r="U144" s="103">
        <f>R144-T153</f>
        <v>0.2</v>
      </c>
    </row>
    <row r="145" spans="1:21" ht="14.25" thickBot="1" thickTop="1">
      <c r="A145" s="20" t="s">
        <v>94</v>
      </c>
      <c r="B145" s="35">
        <f>'CNTNR COST'!G143</f>
        <v>0.3958</v>
      </c>
      <c r="C145" s="25">
        <f>C139</f>
        <v>0.6948</v>
      </c>
      <c r="D145" s="36">
        <f>+$D$17</f>
        <v>0.1316</v>
      </c>
      <c r="E145" s="39">
        <f>ROUND($E$11,4)</f>
        <v>0</v>
      </c>
      <c r="F145" s="39">
        <f>ROUND($F$11,4)</f>
        <v>0.0106</v>
      </c>
      <c r="G145" s="36">
        <f t="shared" si="99"/>
        <v>1.2328</v>
      </c>
      <c r="H145" s="36">
        <f t="shared" si="66"/>
        <v>0.04471295336787562</v>
      </c>
      <c r="I145" s="36">
        <f t="shared" si="100"/>
        <v>1.2775</v>
      </c>
      <c r="J145" s="36">
        <f>J$11</f>
        <v>-0.1305</v>
      </c>
      <c r="K145" s="36">
        <f>K$11</f>
        <v>0.2437</v>
      </c>
      <c r="L145" s="135">
        <f t="shared" si="101"/>
        <v>1.3907</v>
      </c>
      <c r="M145" s="41">
        <v>1.9083</v>
      </c>
      <c r="N145" s="41">
        <f t="shared" si="67"/>
        <v>1.2238</v>
      </c>
      <c r="O145" s="41">
        <f>INPUT!E$89</f>
        <v>0</v>
      </c>
      <c r="P145" s="41">
        <f t="shared" si="102"/>
        <v>1.2238</v>
      </c>
      <c r="Q145" s="41">
        <f t="shared" si="86"/>
        <v>0.034</v>
      </c>
      <c r="R145" s="138">
        <f t="shared" si="87"/>
        <v>1.4</v>
      </c>
      <c r="S145" s="139"/>
      <c r="T145" s="154">
        <v>1.92</v>
      </c>
      <c r="U145" s="104">
        <f>R145-T154</f>
        <v>1.4</v>
      </c>
    </row>
    <row r="146" ht="13.5" thickTop="1">
      <c r="T146" s="151"/>
    </row>
    <row r="147" ht="12.75">
      <c r="T147" s="151"/>
    </row>
    <row r="148" ht="12.75">
      <c r="T148" s="151"/>
    </row>
    <row r="149" ht="12.75">
      <c r="T149" s="151"/>
    </row>
    <row r="150" ht="12.75">
      <c r="T150" s="151"/>
    </row>
    <row r="151" ht="12.75">
      <c r="T151" s="151"/>
    </row>
    <row r="152" ht="12.75">
      <c r="T152" s="151"/>
    </row>
    <row r="153" ht="12.75">
      <c r="T153" s="151"/>
    </row>
    <row r="154" ht="12.75">
      <c r="T154" s="151"/>
    </row>
    <row r="155" ht="12.75">
      <c r="T155" s="131"/>
    </row>
    <row r="156" ht="12.75">
      <c r="T156" s="131"/>
    </row>
    <row r="157" ht="12.75">
      <c r="T157" s="131"/>
    </row>
    <row r="158" ht="12.75">
      <c r="T158" s="131"/>
    </row>
  </sheetData>
  <sheetProtection/>
  <printOptions horizontalCentered="1"/>
  <pageMargins left="0.25" right="0.25" top="0.25" bottom="0.25" header="0.5" footer="0.5"/>
  <pageSetup fitToHeight="3" fitToWidth="1" horizontalDpi="600" verticalDpi="600" orientation="landscape" paperSize="5" scale="77" r:id="rId1"/>
  <rowBreaks count="2" manualBreakCount="2">
    <brk id="77" max="19" man="1"/>
    <brk id="145" max="19" man="1"/>
  </rowBreaks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37.28125" style="0" customWidth="1"/>
    <col min="2" max="2" width="12.8515625" style="0" customWidth="1"/>
    <col min="3" max="3" width="10.00390625" style="0" bestFit="1" customWidth="1"/>
    <col min="4" max="4" width="11.140625" style="0" bestFit="1" customWidth="1"/>
    <col min="5" max="5" width="10.28125" style="0" customWidth="1"/>
    <col min="6" max="6" width="9.8515625" style="0" customWidth="1"/>
    <col min="7" max="9" width="9.57421875" style="0" bestFit="1" customWidth="1"/>
    <col min="10" max="10" width="9.57421875" style="0" customWidth="1"/>
    <col min="11" max="13" width="9.57421875" style="0" bestFit="1" customWidth="1"/>
  </cols>
  <sheetData>
    <row r="1" spans="1:13" ht="34.5">
      <c r="A1" s="47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thickBot="1">
      <c r="A2" s="48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 thickBot="1">
      <c r="A3" s="48" t="s">
        <v>156</v>
      </c>
      <c r="B3" s="32"/>
      <c r="C3" s="32"/>
      <c r="D3" s="32"/>
      <c r="E3" s="32"/>
      <c r="F3" s="32"/>
      <c r="G3" s="32"/>
      <c r="H3" s="6"/>
      <c r="I3" s="126"/>
      <c r="J3" s="126"/>
      <c r="K3" s="126"/>
      <c r="L3" s="127" t="s">
        <v>137</v>
      </c>
      <c r="M3" s="127" t="s">
        <v>138</v>
      </c>
    </row>
    <row r="4" spans="1:13" ht="18.75" thickBot="1">
      <c r="A4" s="48" t="s">
        <v>157</v>
      </c>
      <c r="B4" s="32"/>
      <c r="C4" s="32"/>
      <c r="D4" s="32"/>
      <c r="E4" s="32"/>
      <c r="F4" s="32"/>
      <c r="G4" s="32"/>
      <c r="I4" s="243" t="s">
        <v>135</v>
      </c>
      <c r="J4" s="244"/>
      <c r="K4" s="245"/>
      <c r="L4" s="128">
        <f>Class_1_skim_Rate</f>
        <v>0</v>
      </c>
      <c r="M4" s="129">
        <f>Class_2_Skim_Rate</f>
        <v>0</v>
      </c>
    </row>
    <row r="5" spans="1:13" ht="18.75" thickBot="1">
      <c r="A5" s="48" t="s">
        <v>139</v>
      </c>
      <c r="B5" s="32"/>
      <c r="C5" s="32"/>
      <c r="D5" s="32"/>
      <c r="E5" s="32"/>
      <c r="F5" s="32"/>
      <c r="G5" s="32"/>
      <c r="I5" s="246" t="s">
        <v>136</v>
      </c>
      <c r="J5" s="244"/>
      <c r="K5" s="247"/>
      <c r="L5" s="163">
        <f>Class_1_BF_Rate</f>
        <v>0</v>
      </c>
      <c r="M5" s="164">
        <f>Class_2_BF_Rate</f>
        <v>0</v>
      </c>
    </row>
    <row r="6" spans="1:13" ht="35.25" thickBot="1">
      <c r="A6" s="112">
        <f>INPUT!B3</f>
        <v>0</v>
      </c>
      <c r="B6" s="43"/>
      <c r="C6" s="43"/>
      <c r="D6" s="49"/>
      <c r="E6" s="50"/>
      <c r="F6" s="51"/>
      <c r="G6" s="43"/>
      <c r="H6" s="43"/>
      <c r="I6" s="43"/>
      <c r="J6" s="43"/>
      <c r="L6" s="46"/>
      <c r="M6" s="205" t="str">
        <f>INPUT!A2</f>
        <v>OGO A-954 (CRO-14)</v>
      </c>
    </row>
    <row r="7" spans="1:13" ht="16.5" thickBot="1" thickTop="1">
      <c r="A7" s="52"/>
      <c r="B7" s="52"/>
      <c r="C7" s="53" t="s">
        <v>96</v>
      </c>
      <c r="D7" s="54"/>
      <c r="E7" s="55" t="s">
        <v>97</v>
      </c>
      <c r="F7" s="56" t="s">
        <v>98</v>
      </c>
      <c r="G7" s="57"/>
      <c r="H7" s="57"/>
      <c r="I7" s="57"/>
      <c r="J7" s="57"/>
      <c r="K7" s="57"/>
      <c r="L7" s="57"/>
      <c r="M7" s="58"/>
    </row>
    <row r="8" spans="1:13" ht="16.5" thickBot="1" thickTop="1">
      <c r="A8" s="59"/>
      <c r="B8" s="59" t="s">
        <v>99</v>
      </c>
      <c r="C8" s="60" t="s">
        <v>100</v>
      </c>
      <c r="D8" s="61"/>
      <c r="E8" s="62" t="s">
        <v>101</v>
      </c>
      <c r="F8" s="55"/>
      <c r="G8" s="55" t="s">
        <v>102</v>
      </c>
      <c r="H8" s="55"/>
      <c r="I8" s="55"/>
      <c r="J8" s="55"/>
      <c r="K8" s="55"/>
      <c r="L8" s="62" t="s">
        <v>111</v>
      </c>
      <c r="M8" s="55"/>
    </row>
    <row r="9" spans="1:13" ht="16.5" thickBot="1" thickTop="1">
      <c r="A9" s="63" t="s">
        <v>103</v>
      </c>
      <c r="B9" s="63" t="s">
        <v>104</v>
      </c>
      <c r="C9" s="64" t="s">
        <v>105</v>
      </c>
      <c r="D9" s="64" t="s">
        <v>106</v>
      </c>
      <c r="E9" s="64" t="s">
        <v>107</v>
      </c>
      <c r="F9" s="64" t="s">
        <v>108</v>
      </c>
      <c r="G9" s="64" t="s">
        <v>109</v>
      </c>
      <c r="H9" s="64" t="s">
        <v>14</v>
      </c>
      <c r="I9" s="64" t="s">
        <v>15</v>
      </c>
      <c r="J9" s="62" t="s">
        <v>163</v>
      </c>
      <c r="K9" s="64" t="s">
        <v>164</v>
      </c>
      <c r="L9" s="65" t="s">
        <v>147</v>
      </c>
      <c r="M9" s="64" t="s">
        <v>112</v>
      </c>
    </row>
    <row r="10" spans="1:13" ht="15.75" thickTop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1:13" ht="15">
      <c r="A11" s="79" t="s">
        <v>113</v>
      </c>
      <c r="B11" s="80">
        <v>400</v>
      </c>
      <c r="C11" s="81">
        <v>3.1</v>
      </c>
      <c r="D11" s="81">
        <v>6</v>
      </c>
      <c r="E11" s="82">
        <f>DETAIL!L17</f>
        <v>0.7857</v>
      </c>
      <c r="F11" s="82">
        <f>DETAIL!L9</f>
        <v>2.0407</v>
      </c>
      <c r="G11" s="82">
        <f>DETAIL!L10</f>
        <v>0.9936</v>
      </c>
      <c r="H11" s="82">
        <f>DETAIL!L11</f>
        <v>0.6589</v>
      </c>
      <c r="I11" s="82">
        <f>DETAIL!L12</f>
        <v>0.3785</v>
      </c>
      <c r="J11" s="82">
        <f>DETAIL!L13</f>
        <v>0.4635</v>
      </c>
      <c r="K11" s="82">
        <f>DETAIL!L14</f>
        <v>0.228</v>
      </c>
      <c r="L11" s="82">
        <f>DETAIL!L15</f>
        <v>0.1595</v>
      </c>
      <c r="M11" s="83">
        <f>DETAIL!L16</f>
        <v>0.1426</v>
      </c>
    </row>
    <row r="12" spans="1:13" ht="15">
      <c r="A12" s="79" t="s">
        <v>47</v>
      </c>
      <c r="B12" s="80">
        <v>800</v>
      </c>
      <c r="C12" s="81">
        <v>1.5</v>
      </c>
      <c r="D12" s="81">
        <v>3.09</v>
      </c>
      <c r="E12" s="82">
        <f>DETAIL!L27</f>
        <v>0.7859</v>
      </c>
      <c r="F12" s="82">
        <f>DETAIL!L19</f>
        <v>2.0416</v>
      </c>
      <c r="G12" s="82">
        <f>DETAIL!L20</f>
        <v>0.9941</v>
      </c>
      <c r="H12" s="82">
        <f>DETAIL!L21</f>
        <v>0.6591</v>
      </c>
      <c r="I12" s="82">
        <f>DETAIL!L22</f>
        <v>0.3787</v>
      </c>
      <c r="J12" s="82">
        <f>DETAIL!L23</f>
        <v>0.4635</v>
      </c>
      <c r="K12" s="82">
        <f>DETAIL!L24</f>
        <v>0.2281</v>
      </c>
      <c r="L12" s="82">
        <f>DETAIL!L25</f>
        <v>0.1595</v>
      </c>
      <c r="M12" s="83">
        <f>DETAIL!L26</f>
        <v>0.1426</v>
      </c>
    </row>
    <row r="13" spans="1:13" ht="15">
      <c r="A13" s="69" t="s">
        <v>114</v>
      </c>
      <c r="B13" s="70">
        <v>900</v>
      </c>
      <c r="C13" s="71">
        <v>0.5</v>
      </c>
      <c r="D13" s="71">
        <v>1.49</v>
      </c>
      <c r="E13" s="72">
        <f>DETAIL!L37</f>
        <v>0.7859</v>
      </c>
      <c r="F13" s="72">
        <f>DETAIL!L29</f>
        <v>2.0416</v>
      </c>
      <c r="G13" s="72">
        <f>DETAIL!L30</f>
        <v>0.9941</v>
      </c>
      <c r="H13" s="72">
        <f>DETAIL!L31</f>
        <v>0.6591</v>
      </c>
      <c r="I13" s="72">
        <f>DETAIL!L32</f>
        <v>0.3787</v>
      </c>
      <c r="J13" s="72">
        <f>DETAIL!L33</f>
        <v>0.4635</v>
      </c>
      <c r="K13" s="72">
        <f>DETAIL!L34</f>
        <v>0.2281</v>
      </c>
      <c r="L13" s="72">
        <f>DETAIL!L35</f>
        <v>0.1595</v>
      </c>
      <c r="M13" s="73">
        <f>DETAIL!L36</f>
        <v>0.1426</v>
      </c>
    </row>
    <row r="14" spans="1:13" ht="15">
      <c r="A14" s="74"/>
      <c r="B14" s="75"/>
      <c r="C14" s="76"/>
      <c r="D14" s="76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15">
      <c r="A15" s="69" t="s">
        <v>49</v>
      </c>
      <c r="B15" s="70">
        <v>1200</v>
      </c>
      <c r="C15" s="71">
        <v>0</v>
      </c>
      <c r="D15" s="71">
        <v>0.49</v>
      </c>
      <c r="E15" s="72">
        <f>DETAIL!L47</f>
        <v>0.7878</v>
      </c>
      <c r="F15" s="72">
        <f>DETAIL!L39</f>
        <v>2.0488</v>
      </c>
      <c r="G15" s="72">
        <f>DETAIL!L40</f>
        <v>0.9976</v>
      </c>
      <c r="H15" s="72">
        <f>DETAIL!L41</f>
        <v>0.661</v>
      </c>
      <c r="I15" s="72">
        <f>DETAIL!L42</f>
        <v>0.3795</v>
      </c>
      <c r="J15" s="72">
        <f>DETAIL!L43</f>
        <v>0.4643</v>
      </c>
      <c r="K15" s="72">
        <f>DETAIL!L44</f>
        <v>0.2286</v>
      </c>
      <c r="L15" s="72">
        <f>DETAIL!L45</f>
        <v>0.16</v>
      </c>
      <c r="M15" s="73">
        <f>DETAIL!L46</f>
        <v>0.1428</v>
      </c>
    </row>
    <row r="16" spans="1:13" ht="15">
      <c r="A16" s="74"/>
      <c r="B16" s="75"/>
      <c r="C16" s="76"/>
      <c r="D16" s="76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15">
      <c r="A17" s="79" t="s">
        <v>25</v>
      </c>
      <c r="B17" s="80">
        <v>500</v>
      </c>
      <c r="C17" s="81">
        <v>3.1</v>
      </c>
      <c r="D17" s="81">
        <v>6</v>
      </c>
      <c r="E17" s="82">
        <f>DETAIL!L57</f>
        <v>0.7852</v>
      </c>
      <c r="F17" s="82">
        <f>DETAIL!L49</f>
        <v>2.0386</v>
      </c>
      <c r="G17" s="82">
        <f>DETAIL!L50</f>
        <v>0.9925</v>
      </c>
      <c r="H17" s="82">
        <f>DETAIL!L51</f>
        <v>0.6584</v>
      </c>
      <c r="I17" s="82">
        <f>DETAIL!L52</f>
        <v>0.3783</v>
      </c>
      <c r="J17" s="82">
        <f>DETAIL!L53</f>
        <v>0.4633</v>
      </c>
      <c r="K17" s="82">
        <f>DETAIL!L54</f>
        <v>0.2279</v>
      </c>
      <c r="L17" s="82">
        <f>DETAIL!L55</f>
        <v>0.1594</v>
      </c>
      <c r="M17" s="83">
        <f>DETAIL!L56</f>
        <v>0.1425</v>
      </c>
    </row>
    <row r="18" spans="1:13" ht="15">
      <c r="A18" s="79" t="s">
        <v>50</v>
      </c>
      <c r="B18" s="80">
        <v>600</v>
      </c>
      <c r="C18" s="81">
        <v>0.5</v>
      </c>
      <c r="D18" s="81">
        <v>3.09</v>
      </c>
      <c r="E18" s="82">
        <f>DETAIL!L67</f>
        <v>0.7852</v>
      </c>
      <c r="F18" s="82">
        <f>DETAIL!L59</f>
        <v>2.0386</v>
      </c>
      <c r="G18" s="82">
        <f>DETAIL!L60</f>
        <v>0.9925</v>
      </c>
      <c r="H18" s="82">
        <f>DETAIL!L61</f>
        <v>0.6584</v>
      </c>
      <c r="I18" s="82">
        <f>DETAIL!L62</f>
        <v>0.3783</v>
      </c>
      <c r="J18" s="82">
        <f>DETAIL!L63</f>
        <v>0.4633</v>
      </c>
      <c r="K18" s="82">
        <f>DETAIL!L64</f>
        <v>0.2279</v>
      </c>
      <c r="L18" s="82">
        <f>DETAIL!L65</f>
        <v>0.1594</v>
      </c>
      <c r="M18" s="83">
        <f>DETAIL!L66</f>
        <v>0.1425</v>
      </c>
    </row>
    <row r="19" spans="1:13" ht="15">
      <c r="A19" s="79" t="s">
        <v>172</v>
      </c>
      <c r="B19" s="80">
        <v>700</v>
      </c>
      <c r="C19" s="81">
        <v>0</v>
      </c>
      <c r="D19" s="81">
        <v>0.49</v>
      </c>
      <c r="E19" s="82">
        <f>DETAIL!L77</f>
        <v>0.7852</v>
      </c>
      <c r="F19" s="82">
        <f>DETAIL!L69</f>
        <v>2.0386</v>
      </c>
      <c r="G19" s="82">
        <f>DETAIL!L70</f>
        <v>0.9925</v>
      </c>
      <c r="H19" s="82">
        <f>DETAIL!L71</f>
        <v>0.6584</v>
      </c>
      <c r="I19" s="82">
        <f>DETAIL!L72</f>
        <v>0.3783</v>
      </c>
      <c r="J19" s="82">
        <f>DETAIL!L73</f>
        <v>0.4633</v>
      </c>
      <c r="K19" s="82">
        <f>DETAIL!L74</f>
        <v>0.2279</v>
      </c>
      <c r="L19" s="82">
        <f>DETAIL!L75</f>
        <v>0.1594</v>
      </c>
      <c r="M19" s="83">
        <f>DETAIL!L76</f>
        <v>0.1425</v>
      </c>
    </row>
    <row r="20" spans="1:13" ht="15">
      <c r="A20" s="74"/>
      <c r="B20" s="75"/>
      <c r="C20" s="76"/>
      <c r="D20" s="76"/>
      <c r="E20" s="77"/>
      <c r="F20" s="77"/>
      <c r="G20" s="77"/>
      <c r="H20" s="77"/>
      <c r="I20" s="77"/>
      <c r="J20" s="77"/>
      <c r="K20" s="77"/>
      <c r="L20" s="77"/>
      <c r="M20" s="78"/>
    </row>
    <row r="21" spans="1:13" ht="15">
      <c r="A21" s="79" t="s">
        <v>27</v>
      </c>
      <c r="B21" s="80">
        <v>1000</v>
      </c>
      <c r="C21" s="81">
        <v>0</v>
      </c>
      <c r="D21" s="81">
        <v>6</v>
      </c>
      <c r="E21" s="82">
        <f>DETAIL!L87</f>
        <v>0.8824</v>
      </c>
      <c r="F21" s="82">
        <f>DETAIL!L79</f>
        <v>2.4275</v>
      </c>
      <c r="G21" s="82">
        <f>DETAIL!L80</f>
        <v>1.1869</v>
      </c>
      <c r="H21" s="82">
        <f>DETAIL!L81</f>
        <v>0.7556</v>
      </c>
      <c r="I21" s="82">
        <f>DETAIL!L82</f>
        <v>0.4269</v>
      </c>
      <c r="J21" s="82">
        <f>DETAIL!L83</f>
        <v>0.4998</v>
      </c>
      <c r="K21" s="82">
        <f>DETAIL!L84</f>
        <v>0.2582</v>
      </c>
      <c r="L21" s="82">
        <f>DETAIL!L85</f>
        <v>0.1836</v>
      </c>
      <c r="M21" s="83">
        <f>DETAIL!L86</f>
        <v>0.1547</v>
      </c>
    </row>
    <row r="22" spans="1:13" ht="15">
      <c r="A22" s="79" t="s">
        <v>141</v>
      </c>
      <c r="B22" s="80">
        <v>510</v>
      </c>
      <c r="C22" s="81">
        <v>0</v>
      </c>
      <c r="D22" s="81">
        <v>17.99</v>
      </c>
      <c r="E22" s="82">
        <f>DETAIL!L97</f>
        <v>1.3079</v>
      </c>
      <c r="F22" s="82">
        <f>DETAIL!L89</f>
        <v>4.1294</v>
      </c>
      <c r="G22" s="82">
        <f>DETAIL!L90</f>
        <v>2.0379</v>
      </c>
      <c r="H22" s="82">
        <f>DETAIL!L91</f>
        <v>1.1811</v>
      </c>
      <c r="I22" s="82">
        <f>DETAIL!L92</f>
        <v>0.6396</v>
      </c>
      <c r="J22" s="82">
        <f>DETAIL!L93</f>
        <v>0.6593</v>
      </c>
      <c r="K22" s="82">
        <f>DETAIL!L94</f>
        <v>0.3912</v>
      </c>
      <c r="L22" s="82">
        <f>DETAIL!L95</f>
        <v>0.2901</v>
      </c>
      <c r="M22" s="83">
        <f>DETAIL!L96</f>
        <v>0.2079</v>
      </c>
    </row>
    <row r="23" spans="1:13" ht="15">
      <c r="A23" s="74"/>
      <c r="B23" s="75"/>
      <c r="C23" s="76"/>
      <c r="D23" s="76"/>
      <c r="E23" s="77"/>
      <c r="F23" s="77"/>
      <c r="G23" s="77"/>
      <c r="H23" s="77"/>
      <c r="I23" s="77"/>
      <c r="J23" s="77"/>
      <c r="K23" s="77"/>
      <c r="L23" s="77"/>
      <c r="M23" s="78"/>
    </row>
    <row r="24" spans="1:13" ht="15">
      <c r="A24" s="69" t="s">
        <v>115</v>
      </c>
      <c r="B24" s="70">
        <v>1500</v>
      </c>
      <c r="C24" s="71">
        <v>6.01</v>
      </c>
      <c r="D24" s="71">
        <v>17.99</v>
      </c>
      <c r="E24" s="72">
        <f>DETAIL!L106</f>
        <v>0.9794</v>
      </c>
      <c r="F24" s="72"/>
      <c r="G24" s="72">
        <f>DETAIL!L99</f>
        <v>1.3809</v>
      </c>
      <c r="H24" s="72">
        <f>DETAIL!L100</f>
        <v>0.8526</v>
      </c>
      <c r="I24" s="72">
        <f>DETAIL!L101</f>
        <v>0.4754</v>
      </c>
      <c r="J24" s="72">
        <f>DETAIL!L102</f>
        <v>0.5362</v>
      </c>
      <c r="K24" s="72">
        <f>DETAIL!L103</f>
        <v>0.2885</v>
      </c>
      <c r="L24" s="72">
        <f>DETAIL!L104</f>
        <v>0.2079</v>
      </c>
      <c r="M24" s="73">
        <f>DETAIL!L105</f>
        <v>0.1668</v>
      </c>
    </row>
    <row r="25" spans="1:13" ht="15">
      <c r="A25" s="74"/>
      <c r="B25" s="75"/>
      <c r="C25" s="76"/>
      <c r="D25" s="76"/>
      <c r="E25" s="77"/>
      <c r="F25" s="77"/>
      <c r="G25" s="77"/>
      <c r="H25" s="77"/>
      <c r="I25" s="77"/>
      <c r="J25" s="77"/>
      <c r="K25" s="77"/>
      <c r="L25" s="77"/>
      <c r="M25" s="78"/>
    </row>
    <row r="26" spans="1:13" ht="15">
      <c r="A26" s="79" t="s">
        <v>72</v>
      </c>
      <c r="B26" s="80">
        <v>1700</v>
      </c>
      <c r="C26" s="81">
        <v>18</v>
      </c>
      <c r="D26" s="81">
        <v>29.99</v>
      </c>
      <c r="E26" s="82">
        <f>DETAIL!L118</f>
        <v>0.9824</v>
      </c>
      <c r="F26" s="82"/>
      <c r="G26" s="82">
        <f>DETAIL!L111</f>
        <v>1.3869</v>
      </c>
      <c r="H26" s="82">
        <f>DETAIL!L112</f>
        <v>0.8556</v>
      </c>
      <c r="I26" s="82">
        <f>DETAIL!L113</f>
        <v>0.4769</v>
      </c>
      <c r="J26" s="82">
        <f>DETAIL!L114</f>
        <v>0.5372</v>
      </c>
      <c r="K26" s="82">
        <f>DETAIL!L115</f>
        <v>0.2894</v>
      </c>
      <c r="L26" s="82">
        <f>DETAIL!L116</f>
        <v>0.2086</v>
      </c>
      <c r="M26" s="83">
        <f>DETAIL!L117</f>
        <v>0.1672</v>
      </c>
    </row>
    <row r="27" spans="1:13" ht="15">
      <c r="A27" s="79" t="s">
        <v>55</v>
      </c>
      <c r="B27" s="80">
        <v>1800</v>
      </c>
      <c r="C27" s="81">
        <v>30</v>
      </c>
      <c r="D27" s="81">
        <v>35.99</v>
      </c>
      <c r="E27" s="82">
        <f>DETAIL!L127</f>
        <v>0.9824</v>
      </c>
      <c r="F27" s="82"/>
      <c r="G27" s="82">
        <f>DETAIL!L120</f>
        <v>1.3869</v>
      </c>
      <c r="H27" s="82">
        <f>DETAIL!L121</f>
        <v>0.8556</v>
      </c>
      <c r="I27" s="82">
        <f>DETAIL!L122</f>
        <v>0.4769</v>
      </c>
      <c r="J27" s="82">
        <f>DETAIL!L123</f>
        <v>0.5372</v>
      </c>
      <c r="K27" s="82">
        <f>DETAIL!L124</f>
        <v>0.2894</v>
      </c>
      <c r="L27" s="82">
        <f>DETAIL!L125</f>
        <v>0.2086</v>
      </c>
      <c r="M27" s="83">
        <f>DETAIL!L126</f>
        <v>0.1672</v>
      </c>
    </row>
    <row r="28" spans="1:13" ht="15">
      <c r="A28" s="69" t="s">
        <v>56</v>
      </c>
      <c r="B28" s="70">
        <v>1900</v>
      </c>
      <c r="C28" s="71">
        <v>36</v>
      </c>
      <c r="D28" s="71">
        <v>50</v>
      </c>
      <c r="E28" s="72">
        <f>DETAIL!L136</f>
        <v>0.9824</v>
      </c>
      <c r="F28" s="72"/>
      <c r="G28" s="72">
        <f>DETAIL!L129</f>
        <v>1.3869</v>
      </c>
      <c r="H28" s="72">
        <f>DETAIL!L130</f>
        <v>0.8556</v>
      </c>
      <c r="I28" s="72">
        <f>DETAIL!L131</f>
        <v>0.4769</v>
      </c>
      <c r="J28" s="72">
        <f>DETAIL!L132</f>
        <v>0.5372</v>
      </c>
      <c r="K28" s="72">
        <f>DETAIL!L133</f>
        <v>0.2894</v>
      </c>
      <c r="L28" s="72">
        <f>DETAIL!L134</f>
        <v>0.2086</v>
      </c>
      <c r="M28" s="73">
        <f>DETAIL!L135</f>
        <v>0.1672</v>
      </c>
    </row>
    <row r="29" spans="1:13" ht="15">
      <c r="A29" s="74"/>
      <c r="B29" s="75"/>
      <c r="C29" s="76"/>
      <c r="D29" s="76"/>
      <c r="E29" s="125" t="str">
        <f>FIXED(E30/2.1275,4)&amp;" /LB."</f>
        <v>0.6537 /LB.</v>
      </c>
      <c r="F29" s="77"/>
      <c r="G29" s="77"/>
      <c r="H29" s="77"/>
      <c r="I29" s="77"/>
      <c r="J29" s="77"/>
      <c r="K29" s="77"/>
      <c r="L29" s="77"/>
      <c r="M29" s="78"/>
    </row>
    <row r="30" spans="1:13" ht="15.75" thickBot="1">
      <c r="A30" s="84" t="s">
        <v>167</v>
      </c>
      <c r="B30" s="85">
        <v>1600</v>
      </c>
      <c r="C30" s="86">
        <v>0</v>
      </c>
      <c r="D30" s="86">
        <v>29.99</v>
      </c>
      <c r="E30" s="87">
        <f>DETAIL!L145</f>
        <v>1.3907</v>
      </c>
      <c r="F30" s="87"/>
      <c r="G30" s="87">
        <f>DETAIL!L138</f>
        <v>2.4188</v>
      </c>
      <c r="H30" s="87">
        <f>DETAIL!L139</f>
        <v>1.3715</v>
      </c>
      <c r="I30" s="87">
        <f>DETAIL!L140</f>
        <v>0.7348</v>
      </c>
      <c r="J30" s="87">
        <f>DETAIL!L141</f>
        <v>0.5478</v>
      </c>
      <c r="K30" s="87">
        <f>DETAIL!L142</f>
        <v>0.3943</v>
      </c>
      <c r="L30" s="87">
        <f>DETAIL!L143</f>
        <v>0.3376</v>
      </c>
      <c r="M30" s="88">
        <f>DETAIL!L144</f>
        <v>0.1945</v>
      </c>
    </row>
    <row r="31" spans="1:13" ht="15.75" thickTop="1">
      <c r="A31" s="89" t="s">
        <v>116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5">
      <c r="A32" s="89" t="s">
        <v>117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5">
      <c r="A33" s="89" t="s">
        <v>118</v>
      </c>
      <c r="B33" s="89" t="s">
        <v>119</v>
      </c>
      <c r="C33" s="89">
        <f>DETAIL!L107</f>
        <v>0.0173</v>
      </c>
      <c r="D33" s="89"/>
      <c r="E33" s="89" t="s">
        <v>120</v>
      </c>
      <c r="F33" s="89">
        <f>DETAIL!L108</f>
        <v>0.023</v>
      </c>
      <c r="G33" s="89"/>
      <c r="H33" s="89" t="s">
        <v>121</v>
      </c>
      <c r="I33" s="89">
        <f>DETAIL!L109</f>
        <v>0.0344</v>
      </c>
      <c r="J33" s="89"/>
      <c r="K33" s="89"/>
      <c r="L33" s="89"/>
      <c r="M33" s="89"/>
    </row>
    <row r="34" spans="1:13" ht="15">
      <c r="A34" s="89" t="s">
        <v>122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20" ht="15">
      <c r="A35" s="248">
        <f>INPUT!B20</f>
        <v>0</v>
      </c>
      <c r="B35" s="249"/>
      <c r="C35" s="249"/>
      <c r="D35" s="249"/>
      <c r="E35" s="169"/>
      <c r="F35" s="169"/>
      <c r="G35" s="169"/>
      <c r="H35" s="169"/>
      <c r="I35" s="169"/>
      <c r="J35" s="89"/>
      <c r="K35" s="89"/>
      <c r="L35" s="89"/>
      <c r="M35" s="89"/>
      <c r="O35" s="89"/>
      <c r="P35" s="89"/>
      <c r="Q35" s="90"/>
      <c r="R35" s="89"/>
      <c r="S35" s="89"/>
      <c r="T35" s="89"/>
    </row>
    <row r="36" spans="1:13" ht="15">
      <c r="A36" s="89" t="s">
        <v>166</v>
      </c>
      <c r="B36" s="156">
        <f>ROUND(E30/2.1275*5,4)</f>
        <v>3.2684</v>
      </c>
      <c r="C36" s="89" t="s">
        <v>151</v>
      </c>
      <c r="D36" s="156">
        <f>ROUND(E30/2.1275*10,4)</f>
        <v>6.5368</v>
      </c>
      <c r="E36" s="89"/>
      <c r="F36" s="89"/>
      <c r="G36" s="89"/>
      <c r="H36" s="89"/>
      <c r="I36" s="89"/>
      <c r="J36" s="89"/>
      <c r="K36" s="89"/>
      <c r="L36" s="89"/>
      <c r="M36" s="89"/>
    </row>
    <row r="37" spans="6:13" ht="15">
      <c r="F37" s="89"/>
      <c r="G37" s="89"/>
      <c r="H37" s="89"/>
      <c r="I37" s="89"/>
      <c r="J37" s="89"/>
      <c r="K37" s="89"/>
      <c r="L37" s="89"/>
      <c r="M37" s="89"/>
    </row>
    <row r="38" spans="1:13" ht="15">
      <c r="A38" s="89"/>
      <c r="B38" s="44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34.5">
      <c r="A39" s="47" t="str">
        <f>+A1</f>
        <v>AREA  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8">
      <c r="A40" s="48" t="s">
        <v>37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8">
      <c r="A41" s="48" t="s">
        <v>140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8">
      <c r="A42" s="48" t="s">
        <v>123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8">
      <c r="A43" s="48" t="s">
        <v>124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35.25" thickBot="1">
      <c r="A44" s="112">
        <f>INPUT!B3</f>
        <v>0</v>
      </c>
      <c r="B44" s="43"/>
      <c r="C44" s="43" t="s">
        <v>125</v>
      </c>
      <c r="D44" s="49"/>
      <c r="E44" s="50"/>
      <c r="F44" s="51"/>
      <c r="G44" s="43"/>
      <c r="H44" s="43"/>
      <c r="I44" s="43"/>
      <c r="J44" s="43"/>
      <c r="K44" s="91"/>
      <c r="L44" s="43"/>
      <c r="M44" s="204" t="str">
        <f>M6</f>
        <v>OGO A-954 (CRO-14)</v>
      </c>
    </row>
    <row r="45" spans="1:13" ht="16.5" thickBot="1" thickTop="1">
      <c r="A45" s="52"/>
      <c r="B45" s="52"/>
      <c r="C45" s="53" t="s">
        <v>96</v>
      </c>
      <c r="D45" s="54"/>
      <c r="E45" s="55" t="s">
        <v>97</v>
      </c>
      <c r="F45" s="56" t="s">
        <v>98</v>
      </c>
      <c r="G45" s="57"/>
      <c r="H45" s="57"/>
      <c r="I45" s="57"/>
      <c r="J45" s="57"/>
      <c r="K45" s="57"/>
      <c r="L45" s="57"/>
      <c r="M45" s="58"/>
    </row>
    <row r="46" spans="1:13" ht="16.5" thickBot="1" thickTop="1">
      <c r="A46" s="59"/>
      <c r="B46" s="59" t="s">
        <v>99</v>
      </c>
      <c r="C46" s="60" t="s">
        <v>126</v>
      </c>
      <c r="D46" s="61"/>
      <c r="E46" s="62" t="s">
        <v>101</v>
      </c>
      <c r="F46" s="55"/>
      <c r="G46" s="55" t="s">
        <v>102</v>
      </c>
      <c r="H46" s="55"/>
      <c r="I46" s="55"/>
      <c r="J46" s="55"/>
      <c r="K46" s="55"/>
      <c r="L46" s="62" t="s">
        <v>111</v>
      </c>
      <c r="M46" s="55"/>
    </row>
    <row r="47" spans="1:13" ht="16.5" thickBot="1" thickTop="1">
      <c r="A47" s="63" t="s">
        <v>103</v>
      </c>
      <c r="B47" s="63" t="s">
        <v>104</v>
      </c>
      <c r="C47" s="64" t="s">
        <v>105</v>
      </c>
      <c r="D47" s="64" t="s">
        <v>106</v>
      </c>
      <c r="E47" s="64" t="s">
        <v>107</v>
      </c>
      <c r="F47" s="64" t="s">
        <v>108</v>
      </c>
      <c r="G47" s="64" t="s">
        <v>109</v>
      </c>
      <c r="H47" s="64" t="s">
        <v>14</v>
      </c>
      <c r="I47" s="64" t="s">
        <v>15</v>
      </c>
      <c r="J47" s="62" t="s">
        <v>163</v>
      </c>
      <c r="K47" s="64" t="s">
        <v>164</v>
      </c>
      <c r="L47" s="65" t="s">
        <v>110</v>
      </c>
      <c r="M47" s="64" t="s">
        <v>112</v>
      </c>
    </row>
    <row r="48" spans="1:13" ht="15.75" thickTop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8"/>
    </row>
    <row r="49" spans="1:13" ht="15">
      <c r="A49" s="79" t="s">
        <v>113</v>
      </c>
      <c r="B49" s="80">
        <v>400</v>
      </c>
      <c r="C49" s="81">
        <v>3.1</v>
      </c>
      <c r="D49" s="81">
        <v>6</v>
      </c>
      <c r="E49" s="81">
        <f>DETAIL!R17</f>
        <v>0.79</v>
      </c>
      <c r="F49" s="81">
        <f>DETAIL!R9</f>
        <v>2.05</v>
      </c>
      <c r="G49" s="81">
        <f>DETAIL!R10</f>
        <v>1</v>
      </c>
      <c r="H49" s="81">
        <f>DETAIL!R11</f>
        <v>0.66</v>
      </c>
      <c r="I49" s="81">
        <f>DETAIL!R12</f>
        <v>0.38</v>
      </c>
      <c r="J49" s="81">
        <f>DETAIL!R13</f>
        <v>0.47</v>
      </c>
      <c r="K49" s="81">
        <f>DETAIL!R14</f>
        <v>0.23</v>
      </c>
      <c r="L49" s="81">
        <f>DETAIL!R15</f>
        <v>0.16</v>
      </c>
      <c r="M49" s="94">
        <f>DETAIL!R16</f>
        <v>0.15</v>
      </c>
    </row>
    <row r="50" spans="1:13" ht="15">
      <c r="A50" s="79" t="s">
        <v>47</v>
      </c>
      <c r="B50" s="80">
        <v>800</v>
      </c>
      <c r="C50" s="81">
        <v>1.5</v>
      </c>
      <c r="D50" s="81">
        <v>3.09</v>
      </c>
      <c r="E50" s="81">
        <f>DETAIL!R27</f>
        <v>0.79</v>
      </c>
      <c r="F50" s="81">
        <f>DETAIL!R19</f>
        <v>2.05</v>
      </c>
      <c r="G50" s="81">
        <f>DETAIL!R20</f>
        <v>1</v>
      </c>
      <c r="H50" s="81">
        <f>DETAIL!R21</f>
        <v>0.66</v>
      </c>
      <c r="I50" s="81">
        <f>DETAIL!R22</f>
        <v>0.38</v>
      </c>
      <c r="J50" s="81">
        <f>DETAIL!R23</f>
        <v>0.47</v>
      </c>
      <c r="K50" s="81">
        <f>DETAIL!R24</f>
        <v>0.23</v>
      </c>
      <c r="L50" s="81">
        <f>DETAIL!R25</f>
        <v>0.16</v>
      </c>
      <c r="M50" s="94">
        <f>DETAIL!R26</f>
        <v>0.15</v>
      </c>
    </row>
    <row r="51" spans="1:13" ht="15">
      <c r="A51" s="69" t="s">
        <v>114</v>
      </c>
      <c r="B51" s="70">
        <v>900</v>
      </c>
      <c r="C51" s="71">
        <v>0.5</v>
      </c>
      <c r="D51" s="71">
        <v>1.49</v>
      </c>
      <c r="E51" s="71">
        <f>DETAIL!R37</f>
        <v>0.79</v>
      </c>
      <c r="F51" s="71">
        <f>DETAIL!R29</f>
        <v>2.05</v>
      </c>
      <c r="G51" s="71">
        <f>DETAIL!R30</f>
        <v>1</v>
      </c>
      <c r="H51" s="71">
        <f>DETAIL!R31</f>
        <v>0.66</v>
      </c>
      <c r="I51" s="71">
        <f>DETAIL!R32</f>
        <v>0.38</v>
      </c>
      <c r="J51" s="71">
        <f>DETAIL!R33</f>
        <v>0.47</v>
      </c>
      <c r="K51" s="71">
        <f>DETAIL!R34</f>
        <v>0.23</v>
      </c>
      <c r="L51" s="71">
        <f>DETAIL!R35</f>
        <v>0.16</v>
      </c>
      <c r="M51" s="92">
        <f>DETAIL!R36</f>
        <v>0.15</v>
      </c>
    </row>
    <row r="52" spans="1:13" ht="15">
      <c r="A52" s="74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93"/>
    </row>
    <row r="53" spans="1:13" ht="15">
      <c r="A53" s="69" t="s">
        <v>49</v>
      </c>
      <c r="B53" s="70">
        <v>1200</v>
      </c>
      <c r="C53" s="71">
        <v>0</v>
      </c>
      <c r="D53" s="71">
        <v>0.49</v>
      </c>
      <c r="E53" s="71">
        <f>DETAIL!R47</f>
        <v>0.79</v>
      </c>
      <c r="F53" s="71">
        <f>DETAIL!R39</f>
        <v>2.05</v>
      </c>
      <c r="G53" s="71">
        <f>DETAIL!R40</f>
        <v>1</v>
      </c>
      <c r="H53" s="71">
        <f>DETAIL!R41</f>
        <v>0.67</v>
      </c>
      <c r="I53" s="71">
        <f>DETAIL!R42</f>
        <v>0.38</v>
      </c>
      <c r="J53" s="71">
        <f>DETAIL!R43</f>
        <v>0.47</v>
      </c>
      <c r="K53" s="71">
        <f>DETAIL!R44</f>
        <v>0.23</v>
      </c>
      <c r="L53" s="71">
        <f>DETAIL!R45</f>
        <v>0.17</v>
      </c>
      <c r="M53" s="92">
        <f>DETAIL!R46</f>
        <v>0.15</v>
      </c>
    </row>
    <row r="54" spans="1:13" ht="15">
      <c r="A54" s="74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93"/>
    </row>
    <row r="55" spans="1:13" ht="15">
      <c r="A55" s="79" t="s">
        <v>25</v>
      </c>
      <c r="B55" s="80">
        <v>500</v>
      </c>
      <c r="C55" s="81">
        <v>3.1</v>
      </c>
      <c r="D55" s="81">
        <v>6</v>
      </c>
      <c r="E55" s="81">
        <f>DETAIL!R57</f>
        <v>0.79</v>
      </c>
      <c r="F55" s="81">
        <f>DETAIL!R49</f>
        <v>2.04</v>
      </c>
      <c r="G55" s="81">
        <f>DETAIL!R50</f>
        <v>1</v>
      </c>
      <c r="H55" s="81">
        <f>DETAIL!R51</f>
        <v>0.66</v>
      </c>
      <c r="I55" s="81">
        <f>DETAIL!R52</f>
        <v>0.38</v>
      </c>
      <c r="J55" s="81">
        <f>DETAIL!R53</f>
        <v>0.47</v>
      </c>
      <c r="K55" s="81">
        <f>DETAIL!R54</f>
        <v>0.23</v>
      </c>
      <c r="L55" s="81">
        <f>DETAIL!R55</f>
        <v>0.16</v>
      </c>
      <c r="M55" s="94">
        <f>DETAIL!R56</f>
        <v>0.15</v>
      </c>
    </row>
    <row r="56" spans="1:13" ht="15">
      <c r="A56" s="79" t="s">
        <v>50</v>
      </c>
      <c r="B56" s="80">
        <v>600</v>
      </c>
      <c r="C56" s="81">
        <v>0.5</v>
      </c>
      <c r="D56" s="81">
        <v>3.09</v>
      </c>
      <c r="E56" s="81">
        <f>DETAIL!R67</f>
        <v>0.79</v>
      </c>
      <c r="F56" s="81">
        <f>DETAIL!R59</f>
        <v>2.04</v>
      </c>
      <c r="G56" s="81">
        <f>DETAIL!R60</f>
        <v>1</v>
      </c>
      <c r="H56" s="81">
        <f>DETAIL!R61</f>
        <v>0.66</v>
      </c>
      <c r="I56" s="81">
        <f>DETAIL!R62</f>
        <v>0.38</v>
      </c>
      <c r="J56" s="81">
        <f>DETAIL!R63</f>
        <v>0.47</v>
      </c>
      <c r="K56" s="81">
        <f>DETAIL!R64</f>
        <v>0.23</v>
      </c>
      <c r="L56" s="81">
        <f>DETAIL!R65</f>
        <v>0.16</v>
      </c>
      <c r="M56" s="94">
        <f>DETAIL!R66</f>
        <v>0.15</v>
      </c>
    </row>
    <row r="57" spans="1:13" ht="15">
      <c r="A57" s="69" t="s">
        <v>172</v>
      </c>
      <c r="B57" s="70">
        <v>700</v>
      </c>
      <c r="C57" s="71">
        <v>0</v>
      </c>
      <c r="D57" s="71">
        <v>0.49</v>
      </c>
      <c r="E57" s="71">
        <f>DETAIL!R77</f>
        <v>0.79</v>
      </c>
      <c r="F57" s="71">
        <f>DETAIL!R69</f>
        <v>2.04</v>
      </c>
      <c r="G57" s="71">
        <f>DETAIL!R70</f>
        <v>1</v>
      </c>
      <c r="H57" s="71">
        <f>DETAIL!R71</f>
        <v>0.66</v>
      </c>
      <c r="I57" s="71">
        <f>DETAIL!R72</f>
        <v>0.38</v>
      </c>
      <c r="J57" s="71">
        <f>DETAIL!R73</f>
        <v>0.47</v>
      </c>
      <c r="K57" s="71">
        <f>DETAIL!R74</f>
        <v>0.23</v>
      </c>
      <c r="L57" s="71">
        <f>DETAIL!R75</f>
        <v>0.16</v>
      </c>
      <c r="M57" s="92">
        <f>DETAIL!R76</f>
        <v>0.15</v>
      </c>
    </row>
    <row r="58" spans="1:13" ht="15">
      <c r="A58" s="74"/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93"/>
    </row>
    <row r="59" spans="1:13" ht="15">
      <c r="A59" s="79" t="s">
        <v>27</v>
      </c>
      <c r="B59" s="80">
        <v>1000</v>
      </c>
      <c r="C59" s="81">
        <v>0</v>
      </c>
      <c r="D59" s="81">
        <v>6</v>
      </c>
      <c r="E59" s="81">
        <f>DETAIL!R87</f>
        <v>0.89</v>
      </c>
      <c r="F59" s="81">
        <f>DETAIL!R79</f>
        <v>2.43</v>
      </c>
      <c r="G59" s="81">
        <f>DETAIL!R80</f>
        <v>1.19</v>
      </c>
      <c r="H59" s="81">
        <f>DETAIL!R81</f>
        <v>0.76</v>
      </c>
      <c r="I59" s="81">
        <f>DETAIL!R82</f>
        <v>0.43</v>
      </c>
      <c r="J59" s="81">
        <f>DETAIL!R83</f>
        <v>0.5</v>
      </c>
      <c r="K59" s="81">
        <f>DETAIL!R84</f>
        <v>0.26</v>
      </c>
      <c r="L59" s="81">
        <f>DETAIL!R85</f>
        <v>0.19</v>
      </c>
      <c r="M59" s="94">
        <f>DETAIL!R86</f>
        <v>0.16</v>
      </c>
    </row>
    <row r="60" spans="1:13" ht="15">
      <c r="A60" s="79" t="s">
        <v>141</v>
      </c>
      <c r="B60" s="80">
        <v>510</v>
      </c>
      <c r="C60" s="81">
        <v>0</v>
      </c>
      <c r="D60" s="81">
        <v>17.99</v>
      </c>
      <c r="E60" s="81">
        <f>DETAIL!R97</f>
        <v>1.31</v>
      </c>
      <c r="F60" s="81">
        <f>DETAIL!R89</f>
        <v>4.13</v>
      </c>
      <c r="G60" s="81">
        <f>DETAIL!R90</f>
        <v>2.04</v>
      </c>
      <c r="H60" s="81">
        <f>DETAIL!R91</f>
        <v>1.19</v>
      </c>
      <c r="I60" s="81">
        <f>DETAIL!R92</f>
        <v>0.64</v>
      </c>
      <c r="J60" s="81">
        <f>DETAIL!R93</f>
        <v>0.66</v>
      </c>
      <c r="K60" s="81">
        <f>DETAIL!R94</f>
        <v>0.4</v>
      </c>
      <c r="L60" s="81">
        <f>DETAIL!R95</f>
        <v>0.3</v>
      </c>
      <c r="M60" s="94">
        <f>DETAIL!R96</f>
        <v>0.21</v>
      </c>
    </row>
    <row r="61" spans="1:13" ht="15">
      <c r="A61" s="74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93"/>
    </row>
    <row r="62" spans="1:13" ht="15">
      <c r="A62" s="69" t="s">
        <v>127</v>
      </c>
      <c r="B62" s="70">
        <v>1500</v>
      </c>
      <c r="C62" s="71">
        <v>6.01</v>
      </c>
      <c r="D62" s="71">
        <v>17.99</v>
      </c>
      <c r="E62" s="71">
        <f>DETAIL!R106</f>
        <v>0.98</v>
      </c>
      <c r="F62" s="71"/>
      <c r="G62" s="71">
        <f>DETAIL!R99</f>
        <v>1.39</v>
      </c>
      <c r="H62" s="71">
        <f>DETAIL!R100</f>
        <v>0.86</v>
      </c>
      <c r="I62" s="71">
        <f>DETAIL!R101</f>
        <v>0.48</v>
      </c>
      <c r="J62" s="71">
        <f>DETAIL!R102</f>
        <v>0.54</v>
      </c>
      <c r="K62" s="71">
        <f>DETAIL!R103</f>
        <v>0.29</v>
      </c>
      <c r="L62" s="71">
        <f>DETAIL!R104</f>
        <v>0.21</v>
      </c>
      <c r="M62" s="92">
        <f>DETAIL!R105</f>
        <v>0.17</v>
      </c>
    </row>
    <row r="63" spans="1:13" ht="15">
      <c r="A63" s="74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93"/>
    </row>
    <row r="64" spans="1:13" ht="15">
      <c r="A64" s="79" t="s">
        <v>72</v>
      </c>
      <c r="B64" s="80">
        <v>1700</v>
      </c>
      <c r="C64" s="81">
        <v>18</v>
      </c>
      <c r="D64" s="81">
        <v>29.99</v>
      </c>
      <c r="E64" s="81">
        <f>DETAIL!R118</f>
        <v>0.99</v>
      </c>
      <c r="F64" s="81"/>
      <c r="G64" s="81">
        <f>DETAIL!R111</f>
        <v>1.39</v>
      </c>
      <c r="H64" s="81">
        <f>DETAIL!R112</f>
        <v>0.86</v>
      </c>
      <c r="I64" s="81">
        <f>DETAIL!R113</f>
        <v>0.48</v>
      </c>
      <c r="J64" s="81">
        <f>DETAIL!R114</f>
        <v>0.54</v>
      </c>
      <c r="K64" s="81">
        <f>DETAIL!R115</f>
        <v>0.29</v>
      </c>
      <c r="L64" s="81">
        <f>DETAIL!R116</f>
        <v>0.21</v>
      </c>
      <c r="M64" s="94">
        <f>DETAIL!R117</f>
        <v>0.17</v>
      </c>
    </row>
    <row r="65" spans="1:13" ht="15">
      <c r="A65" s="79" t="s">
        <v>55</v>
      </c>
      <c r="B65" s="80">
        <v>1800</v>
      </c>
      <c r="C65" s="81">
        <v>30</v>
      </c>
      <c r="D65" s="81">
        <v>35.99</v>
      </c>
      <c r="E65" s="81">
        <f>DETAIL!R127</f>
        <v>0.99</v>
      </c>
      <c r="F65" s="81"/>
      <c r="G65" s="81">
        <f>DETAIL!R120</f>
        <v>1.39</v>
      </c>
      <c r="H65" s="81">
        <f>DETAIL!R121</f>
        <v>0.86</v>
      </c>
      <c r="I65" s="81">
        <f>DETAIL!R122</f>
        <v>0.48</v>
      </c>
      <c r="J65" s="81">
        <f>DETAIL!R123</f>
        <v>0.54</v>
      </c>
      <c r="K65" s="81">
        <f>DETAIL!R124</f>
        <v>0.29</v>
      </c>
      <c r="L65" s="81">
        <f>DETAIL!R125</f>
        <v>0.21</v>
      </c>
      <c r="M65" s="94">
        <f>DETAIL!R126</f>
        <v>0.17</v>
      </c>
    </row>
    <row r="66" spans="1:13" ht="15">
      <c r="A66" s="69" t="s">
        <v>56</v>
      </c>
      <c r="B66" s="70">
        <v>1900</v>
      </c>
      <c r="C66" s="71">
        <v>36</v>
      </c>
      <c r="D66" s="71">
        <v>50</v>
      </c>
      <c r="E66" s="71">
        <f>DETAIL!R136</f>
        <v>0.99</v>
      </c>
      <c r="F66" s="71"/>
      <c r="G66" s="71">
        <f>DETAIL!R129</f>
        <v>1.39</v>
      </c>
      <c r="H66" s="71">
        <f>DETAIL!R130</f>
        <v>0.86</v>
      </c>
      <c r="I66" s="71">
        <f>DETAIL!R131</f>
        <v>0.48</v>
      </c>
      <c r="J66" s="71">
        <f>DETAIL!R132</f>
        <v>0.54</v>
      </c>
      <c r="K66" s="71">
        <f>DETAIL!R133</f>
        <v>0.29</v>
      </c>
      <c r="L66" s="71">
        <f>DETAIL!R134</f>
        <v>0.21</v>
      </c>
      <c r="M66" s="92">
        <f>DETAIL!R135</f>
        <v>0.17</v>
      </c>
    </row>
    <row r="67" spans="1:13" ht="15">
      <c r="A67" s="74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93"/>
    </row>
    <row r="68" spans="1:13" ht="15.75" thickBot="1">
      <c r="A68" s="84" t="s">
        <v>128</v>
      </c>
      <c r="B68" s="85">
        <v>1600</v>
      </c>
      <c r="C68" s="86">
        <v>0</v>
      </c>
      <c r="D68" s="86">
        <v>29.99</v>
      </c>
      <c r="E68" s="86">
        <f>DETAIL!R145</f>
        <v>1.4</v>
      </c>
      <c r="F68" s="86"/>
      <c r="G68" s="86">
        <f>DETAIL!R138</f>
        <v>2.42</v>
      </c>
      <c r="H68" s="86">
        <f>DETAIL!R139</f>
        <v>1.38</v>
      </c>
      <c r="I68" s="86">
        <f>DETAIL!R140</f>
        <v>0.74</v>
      </c>
      <c r="J68" s="86">
        <f>DETAIL!R141</f>
        <v>0.55</v>
      </c>
      <c r="K68" s="86">
        <f>DETAIL!R142</f>
        <v>0.4</v>
      </c>
      <c r="L68" s="86">
        <f>DETAIL!R143</f>
        <v>0.34</v>
      </c>
      <c r="M68" s="95">
        <f>DETAIL!R144</f>
        <v>0.2</v>
      </c>
    </row>
    <row r="69" spans="1:13" ht="15.75" thickTop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1:13" ht="15">
      <c r="A70" s="89" t="s">
        <v>129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spans="1:13" ht="15">
      <c r="A71" s="89" t="s">
        <v>130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spans="1:13" ht="15">
      <c r="A72" s="89" t="s">
        <v>131</v>
      </c>
      <c r="B72" s="89" t="s">
        <v>132</v>
      </c>
      <c r="C72" s="96">
        <f>ROUND(B36+0.075,2)</f>
        <v>3.34</v>
      </c>
      <c r="D72" s="89" t="s">
        <v>133</v>
      </c>
      <c r="E72" s="96">
        <f>ROUND(D36+0.15,2)</f>
        <v>6.69</v>
      </c>
      <c r="F72" s="89"/>
      <c r="G72" s="89"/>
      <c r="H72" s="89"/>
      <c r="I72" s="89"/>
      <c r="J72" s="89"/>
      <c r="K72" s="89"/>
      <c r="L72" s="89"/>
      <c r="M72" s="89"/>
    </row>
    <row r="73" spans="1:13" ht="15">
      <c r="A73" s="89" t="s">
        <v>134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1:13" ht="15">
      <c r="A74" s="170" t="str">
        <f>CONCATENATE("        /5/  ADD $",INPUT!E20," WHEN SOLD IN RIGID PLASTIC CONTAINERS.")</f>
        <v>        /5/  ADD $0.01 WHEN SOLD IN RIGID PLASTIC CONTAINERS.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1:13" ht="1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</row>
  </sheetData>
  <sheetProtection/>
  <mergeCells count="3">
    <mergeCell ref="I4:K4"/>
    <mergeCell ref="I5:K5"/>
    <mergeCell ref="A35:D35"/>
  </mergeCells>
  <printOptions horizontalCentered="1" verticalCentered="1"/>
  <pageMargins left="0.25" right="0.25" top="0.25" bottom="0.25" header="0.5" footer="0.5"/>
  <pageSetup fitToHeight="2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Wilson, Joseph</cp:lastModifiedBy>
  <cp:lastPrinted>2014-03-20T13:51:00Z</cp:lastPrinted>
  <dcterms:created xsi:type="dcterms:W3CDTF">1998-10-19T18:47:17Z</dcterms:created>
  <dcterms:modified xsi:type="dcterms:W3CDTF">2023-12-18T19:08:08Z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26600.0000000000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System Account</vt:lpwstr>
  </property>
  <property fmtid="{D5CDD505-2E9C-101B-9397-08002B2CF9AE}" pid="11" name="display_urn:schemas-microsoft-com:office:office#Author">
    <vt:lpwstr>System Account</vt:lpwstr>
  </property>
</Properties>
</file>