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25" yWindow="65506" windowWidth="8115" windowHeight="8490" tabRatio="710" activeTab="0"/>
  </bookViews>
  <sheets>
    <sheet name="INPUT" sheetId="1" r:id="rId1"/>
    <sheet name="RAW" sheetId="2" r:id="rId2"/>
    <sheet name="CNTNR COST" sheetId="3" r:id="rId3"/>
    <sheet name="DETAIL" sheetId="4" r:id="rId4"/>
    <sheet name="SCHEDULES" sheetId="5" r:id="rId5"/>
  </sheets>
  <definedNames>
    <definedName name="Class_1_BF_Rate">'INPUT'!$B$6</definedName>
    <definedName name="Class_1_skim_Rate">'INPUT'!$B$5</definedName>
    <definedName name="Class_2_BF_Rate">'INPUT'!$B$8</definedName>
    <definedName name="Class_2_Skim_Rate">'INPUT'!$B$7</definedName>
    <definedName name="Consumer_Price_Index">'INPUT'!$B$9</definedName>
    <definedName name="COST_UPDATE_ADJ">'INPUT'!$B$33</definedName>
    <definedName name="CREAM_ADDON">'INPUT'!$B$61</definedName>
    <definedName name="CREAMER_ADDON">'INPUT'!$B$60</definedName>
    <definedName name="DISP_CTNR_CST">'INPUT'!$B$22</definedName>
    <definedName name="ENERGY_ADDON">'INPUT'!$B$10</definedName>
    <definedName name="FOURoz_CTNR_CST">'INPUT'!$B$21</definedName>
    <definedName name="GAL_CTNR_CST">'INPUT'!$B$13</definedName>
    <definedName name="H_AND_H_ADDON">'INPUT'!$B$59</definedName>
    <definedName name="HGAL_CTNR_COST">'INPUT'!$B$14</definedName>
    <definedName name="HPT_CTNR_CST">'INPUT'!$B$19</definedName>
    <definedName name="_xlnm.Print_Area" localSheetId="2">'CNTNR COST'!$A$6:$G$143</definedName>
    <definedName name="_xlnm.Print_Area" localSheetId="3">'DETAIL'!$A$1:$U$145</definedName>
    <definedName name="_xlnm.Print_Area" localSheetId="0">'INPUT'!$A$1:$G$72</definedName>
    <definedName name="_xlnm.Print_Area" localSheetId="1">'RAW'!$A$1:$L$24</definedName>
    <definedName name="_xlnm.Print_Area" localSheetId="4">'SCHEDULES'!$A$1:$M$75</definedName>
    <definedName name="_xlnm.Print_Titles" localSheetId="2">'CNTNR COST'!$1:$3</definedName>
    <definedName name="_xlnm.Print_Titles" localSheetId="3">'DETAIL'!$1:$7</definedName>
    <definedName name="PROCESS_CST">'INPUT'!$B$30</definedName>
    <definedName name="PROFIT">'INPUT'!$B$70</definedName>
    <definedName name="PT_CTNR_CST">'INPUT'!$B$16</definedName>
    <definedName name="QT_CTNR_CST">'INPUT'!$B$15</definedName>
    <definedName name="RETAIL_PRFT">'INPUT'!$B$64</definedName>
    <definedName name="SC_ADDON">'INPUT'!$B$62</definedName>
    <definedName name="SCHEDULE_1">'SCHEDULES'!$A$1:$M$38</definedName>
    <definedName name="SCHEDULE_2">'SCHEDULES'!$A$39:$M$74</definedName>
    <definedName name="STOP_CHARGE">#REF!</definedName>
    <definedName name="STORE_COST">'INPUT'!$B$68</definedName>
    <definedName name="TENoz_CTNRCST">'INPUT'!$B$18</definedName>
    <definedName name="WHSLE_DISCNT">'INPUT'!$B$66</definedName>
  </definedNames>
  <calcPr fullCalcOnLoad="1"/>
</workbook>
</file>

<file path=xl/sharedStrings.xml><?xml version="1.0" encoding="utf-8"?>
<sst xmlns="http://schemas.openxmlformats.org/spreadsheetml/2006/main" count="563" uniqueCount="176">
  <si>
    <t>WESTERN MILK MARKETING AREA,  AREA NO. 5</t>
  </si>
  <si>
    <t>DATA INPUT AREAS IN YELLOW CELLS</t>
  </si>
  <si>
    <t>&lt;</t>
  </si>
  <si>
    <t>Enter MONTH and YEAR</t>
  </si>
  <si>
    <t>Enter number with 2 decimal places</t>
  </si>
  <si>
    <t>Enter number with 4 decimal places</t>
  </si>
  <si>
    <t>Energy Addon</t>
  </si>
  <si>
    <t>TO PRINT SCHEDULES</t>
  </si>
  <si>
    <t>Go to "SCHEDULES" worksheet.</t>
  </si>
  <si>
    <t>Press "Ctrl P, Enter" to print Schedules I and II</t>
  </si>
  <si>
    <t>PROCESSING COST</t>
  </si>
  <si>
    <t>CONTAINER COSTS</t>
  </si>
  <si>
    <t>GALLON</t>
  </si>
  <si>
    <t>HALFGALLON</t>
  </si>
  <si>
    <t>QUART</t>
  </si>
  <si>
    <t>PINT</t>
  </si>
  <si>
    <t>HALF PINT</t>
  </si>
  <si>
    <t xml:space="preserve">4oz </t>
  </si>
  <si>
    <t>DISPENSER</t>
  </si>
  <si>
    <t>COST UPDATE ADJ.</t>
  </si>
  <si>
    <t>INGREDIENT COST</t>
  </si>
  <si>
    <t>STANDARD</t>
  </si>
  <si>
    <t>TWO PERCENT</t>
  </si>
  <si>
    <t>ONE PERCENT</t>
  </si>
  <si>
    <t>SKIM</t>
  </si>
  <si>
    <t>FLAVORED MILK</t>
  </si>
  <si>
    <t>FLAVORED MILK DRINK</t>
  </si>
  <si>
    <t>BUTTERMILK</t>
  </si>
  <si>
    <t>CREAM ADD-ONS</t>
  </si>
  <si>
    <t>HALF &amp; HALF ADD-ON</t>
  </si>
  <si>
    <t>CREAMER ADD-ON</t>
  </si>
  <si>
    <t>CREAM ADD-ON</t>
  </si>
  <si>
    <t>SOUR CREAM ADD-ON</t>
  </si>
  <si>
    <t>RETAIL PROFIT</t>
  </si>
  <si>
    <t>WHOLESALE DISCOUNT</t>
  </si>
  <si>
    <t>In-Store Handling Costs</t>
  </si>
  <si>
    <t>DEALER PROFIT</t>
  </si>
  <si>
    <t>PENNSYLVANIA MILK MARKETING BOARD</t>
  </si>
  <si>
    <t>COMPUTATION OF RAW PRODUCT COST</t>
  </si>
  <si>
    <t>AREA 5 RESALE PRICE BUILD-UP</t>
  </si>
  <si>
    <t>TOTAL</t>
  </si>
  <si>
    <t>BUTTERFAT</t>
  </si>
  <si>
    <t xml:space="preserve">SKIM </t>
  </si>
  <si>
    <t>COST PER</t>
  </si>
  <si>
    <t>POUNDS</t>
  </si>
  <si>
    <t>COST</t>
  </si>
  <si>
    <t>POUND</t>
  </si>
  <si>
    <t>REDUCED FAT MILK, 2% MILKFAT</t>
  </si>
  <si>
    <t>LOW FAT MILK, 1% MILKFAT</t>
  </si>
  <si>
    <t>NONFAT MILK</t>
  </si>
  <si>
    <t>FLAVORED REDUCED FAT MILK</t>
  </si>
  <si>
    <t>BULK MILK</t>
  </si>
  <si>
    <t>INGREDIENT</t>
  </si>
  <si>
    <t>ADJUSTMENT</t>
  </si>
  <si>
    <t>HALF &amp; HALF (MIXED MILK)</t>
  </si>
  <si>
    <t>MEDIUM CREAM</t>
  </si>
  <si>
    <t>HEAVY CREAM</t>
  </si>
  <si>
    <t>UNADJUSTED COST PER CONTAINER - AREA 1</t>
  </si>
  <si>
    <t>POUNDS PER</t>
  </si>
  <si>
    <t>RAW MILK</t>
  </si>
  <si>
    <t>CONTAINER</t>
  </si>
  <si>
    <t>PROCESSING</t>
  </si>
  <si>
    <t>UNIT</t>
  </si>
  <si>
    <t>1/2 GALLON</t>
  </si>
  <si>
    <t>10 OUNCE</t>
  </si>
  <si>
    <t>1/2 PINT</t>
  </si>
  <si>
    <t>4 OUNCE</t>
  </si>
  <si>
    <t>DISP. PER QT.</t>
  </si>
  <si>
    <t>HALF &amp; HALF</t>
  </si>
  <si>
    <t>3/8 OZ</t>
  </si>
  <si>
    <t>1/2 OZ</t>
  </si>
  <si>
    <t>3/4 OZ</t>
  </si>
  <si>
    <t>LIGHT CREAM</t>
  </si>
  <si>
    <t>SOUR CREAM</t>
  </si>
  <si>
    <t>AREA 5 PRICE BUILD-UP</t>
  </si>
  <si>
    <t xml:space="preserve"> </t>
  </si>
  <si>
    <t>AVERAGE</t>
  </si>
  <si>
    <t>CREAM FIXED</t>
  </si>
  <si>
    <t>SMALL</t>
  </si>
  <si>
    <t>PRICE</t>
  </si>
  <si>
    <t>IN-STORE</t>
  </si>
  <si>
    <t>DELIVERED</t>
  </si>
  <si>
    <t>ADD-ON</t>
  </si>
  <si>
    <t>WHOLESALE</t>
  </si>
  <si>
    <t>DEALER</t>
  </si>
  <si>
    <t>WITH</t>
  </si>
  <si>
    <t>DELIVERY</t>
  </si>
  <si>
    <t>DISCOUNTED</t>
  </si>
  <si>
    <t>HANDLING</t>
  </si>
  <si>
    <t>INTO STORE</t>
  </si>
  <si>
    <t>RETAIL</t>
  </si>
  <si>
    <t>ADJUST.</t>
  </si>
  <si>
    <t>PROFIT</t>
  </si>
  <si>
    <t>INCR/(DEC)</t>
  </si>
  <si>
    <t>DISP./QT.</t>
  </si>
  <si>
    <t>AREA  5</t>
  </si>
  <si>
    <t>BUTTERFAT %</t>
  </si>
  <si>
    <t>BULK</t>
  </si>
  <si>
    <t>NON-RETURNABLE</t>
  </si>
  <si>
    <t>PRODUCT</t>
  </si>
  <si>
    <t>RANGE</t>
  </si>
  <si>
    <t>PER QT.</t>
  </si>
  <si>
    <t>1/2 GAL.</t>
  </si>
  <si>
    <t>DESCRIPTION</t>
  </si>
  <si>
    <t>CODE</t>
  </si>
  <si>
    <t>LOW</t>
  </si>
  <si>
    <t>HIGH</t>
  </si>
  <si>
    <t>EQUIV.</t>
  </si>
  <si>
    <t>GAL. /1/</t>
  </si>
  <si>
    <t xml:space="preserve">/2/   </t>
  </si>
  <si>
    <t>/5/</t>
  </si>
  <si>
    <t>1/2 PT.</t>
  </si>
  <si>
    <t>4 OZ.</t>
  </si>
  <si>
    <t>STANDARD MILK</t>
  </si>
  <si>
    <t>LOWFAT MILK, 1% MILKFAT</t>
  </si>
  <si>
    <t>MIXED MILK /3/</t>
  </si>
  <si>
    <t xml:space="preserve">    /1/    DEDUCT $0.06 IF SOLD IN REUSABLE CONTAINER WITH A 50 CENT DEPOSIT.</t>
  </si>
  <si>
    <t xml:space="preserve">    /2/    DEDUCT $0.04 IF SOLD IN REUSABLE CONTAINER WITH A 40 CENT DEPOSIT.</t>
  </si>
  <si>
    <t xml:space="preserve">    /3/    MIXED MILK PRICES:</t>
  </si>
  <si>
    <t xml:space="preserve">3/8 OZ. - </t>
  </si>
  <si>
    <t xml:space="preserve">1/2 OZ. - </t>
  </si>
  <si>
    <t xml:space="preserve">3/4 OZ. - </t>
  </si>
  <si>
    <t xml:space="preserve">             ADD $.02 PER QT. EQUIVALENT TO ESTABLISH RETAIL PRICES ON SCHEDULE II.</t>
  </si>
  <si>
    <t>MINIMUM RETAIL OUT-OF-STORE (CASH AND CARRY)</t>
  </si>
  <si>
    <t>SCHEDULE II /4/</t>
  </si>
  <si>
    <t xml:space="preserve">               </t>
  </si>
  <si>
    <t xml:space="preserve">     RANGE</t>
  </si>
  <si>
    <t xml:space="preserve">MIXED MILK </t>
  </si>
  <si>
    <t>SOUR CREAM /3/</t>
  </si>
  <si>
    <t xml:space="preserve">        /1/  DEDUCT $0.06 IF SOLD IN REUSABLE CONTAINER WITH A 50 CENT DEPOSIT.</t>
  </si>
  <si>
    <t xml:space="preserve">        /2/  DEDUCT $0.04 IF SOLD IN REUSABLE CONTAINER WITH A 40 CENT DEPOSIT.</t>
  </si>
  <si>
    <t xml:space="preserve">        /3/  SOUR CREAM - </t>
  </si>
  <si>
    <t xml:space="preserve">  5 LBS.  -</t>
  </si>
  <si>
    <t>10 LBS.  -</t>
  </si>
  <si>
    <t xml:space="preserve">        /4/  ADD $0.0425 PER QUART FOR HOME-DELIVERED MILK</t>
  </si>
  <si>
    <t>SKIM RATE</t>
  </si>
  <si>
    <t>BUTTERFAT RATE</t>
  </si>
  <si>
    <t>CLASS I</t>
  </si>
  <si>
    <t>CLASS II</t>
  </si>
  <si>
    <t xml:space="preserve">                                                                 SCHEDULE I</t>
  </si>
  <si>
    <t xml:space="preserve">WESTERN MILK MARKETING AREA </t>
  </si>
  <si>
    <t>EGG NOG</t>
  </si>
  <si>
    <t>Consumer Price Index</t>
  </si>
  <si>
    <t>Bulk P/L, Shrink &amp; Cream Cost</t>
  </si>
  <si>
    <t>PROPOSED</t>
  </si>
  <si>
    <t>PREPROFIT</t>
  </si>
  <si>
    <t>CURRENT</t>
  </si>
  <si>
    <t>/4/</t>
  </si>
  <si>
    <t xml:space="preserve">ENERGY </t>
  </si>
  <si>
    <t>ADD-ON  &amp;</t>
  </si>
  <si>
    <t>COST ADJUST</t>
  </si>
  <si>
    <t>10 LBS -</t>
  </si>
  <si>
    <t>Class I Skim Value</t>
  </si>
  <si>
    <t>Class I Butterfat Value</t>
  </si>
  <si>
    <t>Adv. Adjusted Class II Skim Price</t>
  </si>
  <si>
    <t>Adv. Adjusted Class II Butterfat Price</t>
  </si>
  <si>
    <t xml:space="preserve">                                                                      WESTERN MILK MARKETING AREA</t>
  </si>
  <si>
    <t xml:space="preserve">                                                                       MINIMUM WHOLESALE PRICES</t>
  </si>
  <si>
    <t>CRATE</t>
  </si>
  <si>
    <t>CRATE COST</t>
  </si>
  <si>
    <t>TEN OUNCE</t>
  </si>
  <si>
    <t>TWELVE OUNCE</t>
  </si>
  <si>
    <t>12 OUNCE</t>
  </si>
  <si>
    <t>12 OZ.</t>
  </si>
  <si>
    <t>10 OZ.</t>
  </si>
  <si>
    <t>HALF PINT PLASTIC ADD-ON</t>
  </si>
  <si>
    <t xml:space="preserve">    /5/    SOUR CREAM           5 LBS - </t>
  </si>
  <si>
    <t>SOUR CREAM /5/</t>
  </si>
  <si>
    <t>Flavored Milk Cost Updates</t>
  </si>
  <si>
    <t>Flavored Milk Cost</t>
  </si>
  <si>
    <t>Flavored Milk Drink Cost</t>
  </si>
  <si>
    <t>FLAVORED NON FAT MILK</t>
  </si>
  <si>
    <t>FLAVORED NONFAT MILK</t>
  </si>
  <si>
    <t>Non-fat Flavored Milk Drink Cost</t>
  </si>
  <si>
    <t>Enter number with 3 decimal places</t>
  </si>
  <si>
    <t>OGO A-954 (CRO-5)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</si>
</sst>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\-yy_)"/>
    <numFmt numFmtId="166" formatCode="hh:mm\ AM/PM_)"/>
    <numFmt numFmtId="167" formatCode="0.0000_)"/>
    <numFmt numFmtId="168" formatCode="0.00_)"/>
    <numFmt numFmtId="169" formatCode="&quot;$&quot;#,##0.0000_);\(&quot;$&quot;#,##0.0000\)"/>
    <numFmt numFmtId="170" formatCode="#,##0.0000000_);\(#,##0.0000000\)"/>
    <numFmt numFmtId="171" formatCode="#,##0.0000_);\(#,##0.0000\)"/>
    <numFmt numFmtId="172" formatCode="0.000_)"/>
    <numFmt numFmtId="173" formatCode="&quot;$&quot;#,##0.000_);\(&quot;$&quot;#,##0.000\)"/>
    <numFmt numFmtId="174" formatCode="#,##0.000_);\(#,##0.000\)"/>
    <numFmt numFmtId="175" formatCode="#,##0.00000000_);\(#,##0.00000000\)"/>
    <numFmt numFmtId="176" formatCode="#,##0.000000_);\(#,##0.000000\)"/>
    <numFmt numFmtId="177" formatCode="&quot;$&quot;#,##0.0_);\(&quot;$&quot;#,##0.0\)"/>
    <numFmt numFmtId="178" formatCode="m/d/yy\ h:mm\ AM/PM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"/>
    <numFmt numFmtId="185" formatCode="_(* #,##0.0000_);_(* \(#,##0.0000\);_(* &quot;-&quot;??_);_(@_)"/>
    <numFmt numFmtId="186" formatCode="mmm\-yyyy"/>
    <numFmt numFmtId="187" formatCode="mmmm\-yyyy"/>
    <numFmt numFmtId="188" formatCode="0.0%"/>
    <numFmt numFmtId="189" formatCode="_(&quot;$&quot;* #,##0.000_);_(&quot;$&quot;* \(#,##0.000\);_(&quot;$&quot;* &quot;-&quot;??_);_(@_)"/>
    <numFmt numFmtId="190" formatCode="_(&quot;$&quot;* #,##0.0000_);_(&quot;$&quot;* \(#,##0.0000\);_(&quot;$&quot;* &quot;-&quot;??_);_(@_)"/>
    <numFmt numFmtId="191" formatCode="&quot;$&quot;#,##0.000_);[Red]\(&quot;$&quot;#,##0.000\)"/>
    <numFmt numFmtId="192" formatCode="&quot;$&quot;#,##0.0000_);[Red]\(&quot;$&quot;#,##0.00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_(* #,##0.0_);_(* \(#,##0.0\);_(* &quot;-&quot;??_);_(@_)"/>
    <numFmt numFmtId="197" formatCode="_(* #,##0_);_(* \(#,##0\);_(* &quot;-&quot;??_);_(@_)"/>
    <numFmt numFmtId="198" formatCode="_(&quot;$&quot;* #,##0.0_);_(&quot;$&quot;* \(#,##0.0\);_(&quot;$&quot;* &quot;-&quot;??_);_(@_)"/>
    <numFmt numFmtId="199" formatCode="_(&quot;$&quot;* #,##0_);_(&quot;$&quot;* \(#,##0\);_(&quot;$&quot;* &quot;-&quot;??_);_(@_)"/>
    <numFmt numFmtId="200" formatCode="_(* #,##0.0000_);_(* \(#,##0.0000\);_(* &quot;-&quot;????_);_(@_)"/>
    <numFmt numFmtId="201" formatCode="&quot;    /4/    ADD &quot;&quot;$&quot;* #,##0.0000_)&quot;WHEN SOLD IN RIGID PLASTIC CONTAINERS&quot;;\(&quot;$&quot;* \(#,##0.0000\);_(&quot;$&quot;* &quot;-&quot;_);_(@_)"/>
    <numFmt numFmtId="202" formatCode="&quot;    /5/    ADD &quot;&quot;$&quot;* #,##0.0000_)&quot;WHEN SOLD IN RIGID PLASTIC CONTAINERS&quot;;\(&quot;$&quot;* \(#,##0.0000\);_(&quot;$&quot;* &quot;-&quot;_);_(@_)"/>
    <numFmt numFmtId="203" formatCode="_(* #,##0.000_);_(* \(#,##0.000\);_(* &quot;-&quot;??_);_(@_)"/>
  </numFmts>
  <fonts count="72">
    <font>
      <sz val="10"/>
      <name val="Arial"/>
      <family val="0"/>
    </font>
    <font>
      <b/>
      <sz val="18"/>
      <name val="Arial MT"/>
      <family val="0"/>
    </font>
    <font>
      <sz val="12"/>
      <name val="Arial MT"/>
      <family val="0"/>
    </font>
    <font>
      <b/>
      <sz val="14"/>
      <name val="Arial MT"/>
      <family val="0"/>
    </font>
    <font>
      <sz val="11"/>
      <name val="Arial MT"/>
      <family val="0"/>
    </font>
    <font>
      <sz val="12"/>
      <color indexed="8"/>
      <name val="Arial MT"/>
      <family val="0"/>
    </font>
    <font>
      <sz val="14"/>
      <name val="Arial"/>
      <family val="2"/>
    </font>
    <font>
      <sz val="24"/>
      <name val="Arial"/>
      <family val="2"/>
    </font>
    <font>
      <sz val="12"/>
      <color indexed="12"/>
      <name val="Arial MT"/>
      <family val="0"/>
    </font>
    <font>
      <b/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28"/>
      <name val="Arial"/>
      <family val="2"/>
    </font>
    <font>
      <sz val="12"/>
      <name val="Arial"/>
      <family val="2"/>
    </font>
    <font>
      <sz val="26"/>
      <name val="Arial"/>
      <family val="2"/>
    </font>
    <font>
      <sz val="12"/>
      <color indexed="10"/>
      <name val="Arial"/>
      <family val="2"/>
    </font>
    <font>
      <b/>
      <i/>
      <sz val="14"/>
      <color indexed="62"/>
      <name val="Arial MT"/>
      <family val="0"/>
    </font>
    <font>
      <sz val="12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2"/>
      <name val="Arial MT"/>
      <family val="0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MT"/>
      <family val="2"/>
    </font>
    <font>
      <sz val="10"/>
      <color indexed="6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MT"/>
      <family val="2"/>
    </font>
    <font>
      <sz val="10"/>
      <color rgb="FFC00000"/>
      <name val="Arial"/>
      <family val="2"/>
    </font>
    <font>
      <b/>
      <sz val="12"/>
      <color theme="0"/>
      <name val="Arial"/>
      <family val="2"/>
    </font>
    <font>
      <sz val="12"/>
      <color theme="0"/>
      <name val="Arial MT"/>
      <family val="0"/>
    </font>
    <font>
      <sz val="10"/>
      <color theme="0"/>
      <name val="Arial"/>
      <family val="2"/>
    </font>
    <font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165" fontId="3" fillId="0" borderId="0" xfId="0" applyNumberFormat="1" applyFont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39" fontId="5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7" fontId="2" fillId="0" borderId="0" xfId="0" applyNumberFormat="1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22" fontId="3" fillId="0" borderId="0" xfId="0" applyNumberFormat="1" applyFont="1" applyAlignment="1" applyProtection="1">
      <alignment horizontal="centerContinuous"/>
      <protection/>
    </xf>
    <xf numFmtId="0" fontId="9" fillId="0" borderId="0" xfId="0" applyFont="1" applyAlignment="1">
      <alignment horizontal="centerContinuous"/>
    </xf>
    <xf numFmtId="178" fontId="9" fillId="0" borderId="0" xfId="0" applyNumberFormat="1" applyFont="1" applyAlignment="1">
      <alignment horizontal="centerContinuous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0" fontId="0" fillId="0" borderId="16" xfId="0" applyNumberFormat="1" applyBorder="1" applyAlignment="1">
      <alignment/>
    </xf>
    <xf numFmtId="182" fontId="0" fillId="0" borderId="16" xfId="0" applyNumberFormat="1" applyBorder="1" applyAlignment="1">
      <alignment/>
    </xf>
    <xf numFmtId="182" fontId="0" fillId="0" borderId="0" xfId="0" applyNumberFormat="1" applyAlignment="1">
      <alignment/>
    </xf>
    <xf numFmtId="0" fontId="9" fillId="0" borderId="0" xfId="0" applyFont="1" applyAlignment="1">
      <alignment horizontal="centerContinuous" vertical="center"/>
    </xf>
    <xf numFmtId="178" fontId="9" fillId="0" borderId="0" xfId="0" applyNumberFormat="1" applyFont="1" applyAlignment="1">
      <alignment horizontal="centerContinuous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0" borderId="26" xfId="0" applyFont="1" applyBorder="1" applyAlignment="1">
      <alignment/>
    </xf>
    <xf numFmtId="182" fontId="0" fillId="0" borderId="19" xfId="0" applyNumberFormat="1" applyBorder="1" applyAlignment="1">
      <alignment/>
    </xf>
    <xf numFmtId="182" fontId="0" fillId="0" borderId="25" xfId="0" applyNumberFormat="1" applyBorder="1" applyAlignment="1">
      <alignment/>
    </xf>
    <xf numFmtId="180" fontId="0" fillId="0" borderId="19" xfId="0" applyNumberForma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8" fontId="11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13" xfId="0" applyFont="1" applyBorder="1" applyAlignment="1">
      <alignment/>
    </xf>
    <xf numFmtId="0" fontId="13" fillId="0" borderId="27" xfId="0" applyFont="1" applyBorder="1" applyAlignment="1">
      <alignment horizontal="centerContinuous" vertical="center"/>
    </xf>
    <xf numFmtId="0" fontId="13" fillId="0" borderId="28" xfId="0" applyFont="1" applyBorder="1" applyAlignment="1">
      <alignment horizontal="centerContinuous" vertical="center"/>
    </xf>
    <xf numFmtId="0" fontId="13" fillId="0" borderId="13" xfId="0" applyFont="1" applyBorder="1" applyAlignment="1">
      <alignment horizontal="center"/>
    </xf>
    <xf numFmtId="0" fontId="13" fillId="0" borderId="26" xfId="0" applyFont="1" applyBorder="1" applyAlignment="1">
      <alignment horizontal="centerContinuous" vertical="center"/>
    </xf>
    <xf numFmtId="0" fontId="13" fillId="0" borderId="29" xfId="0" applyFont="1" applyBorder="1" applyAlignment="1">
      <alignment horizontal="centerContinuous" vertical="center"/>
    </xf>
    <xf numFmtId="0" fontId="13" fillId="0" borderId="30" xfId="0" applyFont="1" applyBorder="1" applyAlignment="1">
      <alignment horizontal="centerContinuous" vertical="center"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 horizontal="centerContinuous" vertical="center"/>
    </xf>
    <xf numFmtId="0" fontId="13" fillId="0" borderId="33" xfId="0" applyFont="1" applyBorder="1" applyAlignment="1">
      <alignment horizontal="centerContinuous" vertical="center"/>
    </xf>
    <xf numFmtId="0" fontId="13" fillId="0" borderId="31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 quotePrefix="1">
      <alignment horizontal="center"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180" fontId="13" fillId="0" borderId="17" xfId="0" applyNumberFormat="1" applyFont="1" applyBorder="1" applyAlignment="1">
      <alignment/>
    </xf>
    <xf numFmtId="180" fontId="13" fillId="0" borderId="38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8" xfId="0" applyFont="1" applyBorder="1" applyAlignment="1">
      <alignment/>
    </xf>
    <xf numFmtId="2" fontId="13" fillId="0" borderId="18" xfId="0" applyNumberFormat="1" applyFont="1" applyBorder="1" applyAlignment="1">
      <alignment/>
    </xf>
    <xf numFmtId="180" fontId="13" fillId="0" borderId="18" xfId="0" applyNumberFormat="1" applyFont="1" applyBorder="1" applyAlignment="1">
      <alignment/>
    </xf>
    <xf numFmtId="180" fontId="13" fillId="0" borderId="40" xfId="0" applyNumberFormat="1" applyFont="1" applyBorder="1" applyAlignment="1">
      <alignment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2" fontId="13" fillId="0" borderId="42" xfId="0" applyNumberFormat="1" applyFont="1" applyBorder="1" applyAlignment="1">
      <alignment/>
    </xf>
    <xf numFmtId="180" fontId="13" fillId="0" borderId="42" xfId="0" applyNumberFormat="1" applyFont="1" applyBorder="1" applyAlignment="1">
      <alignment/>
    </xf>
    <xf numFmtId="180" fontId="13" fillId="0" borderId="43" xfId="0" applyNumberFormat="1" applyFont="1" applyBorder="1" applyAlignment="1">
      <alignment/>
    </xf>
    <xf numFmtId="0" fontId="13" fillId="0" borderId="44" xfId="0" applyFont="1" applyBorder="1" applyAlignment="1">
      <alignment/>
    </xf>
    <xf numFmtId="0" fontId="13" fillId="0" borderId="45" xfId="0" applyFont="1" applyBorder="1" applyAlignment="1">
      <alignment/>
    </xf>
    <xf numFmtId="2" fontId="13" fillId="0" borderId="45" xfId="0" applyNumberFormat="1" applyFont="1" applyBorder="1" applyAlignment="1">
      <alignment/>
    </xf>
    <xf numFmtId="180" fontId="13" fillId="0" borderId="45" xfId="0" applyNumberFormat="1" applyFont="1" applyBorder="1" applyAlignment="1">
      <alignment/>
    </xf>
    <xf numFmtId="180" fontId="13" fillId="0" borderId="46" xfId="0" applyNumberFormat="1" applyFont="1" applyBorder="1" applyAlignment="1">
      <alignment/>
    </xf>
    <xf numFmtId="0" fontId="13" fillId="0" borderId="0" xfId="0" applyFont="1" applyAlignment="1">
      <alignment/>
    </xf>
    <xf numFmtId="180" fontId="13" fillId="0" borderId="0" xfId="0" applyNumberFormat="1" applyFont="1" applyAlignment="1">
      <alignment/>
    </xf>
    <xf numFmtId="0" fontId="14" fillId="0" borderId="0" xfId="0" applyFont="1" applyAlignment="1">
      <alignment/>
    </xf>
    <xf numFmtId="2" fontId="13" fillId="0" borderId="38" xfId="0" applyNumberFormat="1" applyFont="1" applyBorder="1" applyAlignment="1">
      <alignment/>
    </xf>
    <xf numFmtId="2" fontId="13" fillId="0" borderId="40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2" fontId="13" fillId="0" borderId="46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0" fontId="15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17" fontId="16" fillId="33" borderId="47" xfId="0" applyNumberFormat="1" applyFont="1" applyFill="1" applyBorder="1" applyAlignment="1" applyProtection="1">
      <alignment horizontal="centerContinuous"/>
      <protection/>
    </xf>
    <xf numFmtId="0" fontId="2" fillId="33" borderId="48" xfId="0" applyFont="1" applyFill="1" applyBorder="1" applyAlignment="1" applyProtection="1">
      <alignment horizontal="centerContinuous"/>
      <protection/>
    </xf>
    <xf numFmtId="0" fontId="0" fillId="33" borderId="48" xfId="0" applyFill="1" applyBorder="1" applyAlignment="1" applyProtection="1">
      <alignment horizontal="centerContinuous"/>
      <protection/>
    </xf>
    <xf numFmtId="0" fontId="0" fillId="33" borderId="49" xfId="0" applyFill="1" applyBorder="1" applyAlignment="1" applyProtection="1">
      <alignment horizontal="centerContinuous"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44" fontId="8" fillId="34" borderId="16" xfId="44" applyFont="1" applyFill="1" applyBorder="1" applyAlignment="1" applyProtection="1">
      <alignment/>
      <protection locked="0"/>
    </xf>
    <xf numFmtId="0" fontId="15" fillId="0" borderId="0" xfId="0" applyFont="1" applyAlignment="1" applyProtection="1">
      <alignment horizontal="left"/>
      <protection/>
    </xf>
    <xf numFmtId="186" fontId="8" fillId="34" borderId="17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35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80" fontId="0" fillId="0" borderId="50" xfId="0" applyNumberFormat="1" applyBorder="1" applyAlignment="1">
      <alignment/>
    </xf>
    <xf numFmtId="180" fontId="0" fillId="0" borderId="51" xfId="0" applyNumberFormat="1" applyBorder="1" applyAlignment="1">
      <alignment/>
    </xf>
    <xf numFmtId="0" fontId="17" fillId="0" borderId="0" xfId="0" applyFont="1" applyBorder="1" applyAlignment="1" applyProtection="1">
      <alignment/>
      <protection/>
    </xf>
    <xf numFmtId="171" fontId="17" fillId="0" borderId="0" xfId="0" applyNumberFormat="1" applyFont="1" applyBorder="1" applyAlignment="1" applyProtection="1">
      <alignment/>
      <protection/>
    </xf>
    <xf numFmtId="10" fontId="17" fillId="0" borderId="0" xfId="0" applyNumberFormat="1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8" fontId="0" fillId="0" borderId="19" xfId="0" applyNumberFormat="1" applyBorder="1" applyAlignment="1">
      <alignment/>
    </xf>
    <xf numFmtId="8" fontId="0" fillId="0" borderId="16" xfId="0" applyNumberFormat="1" applyBorder="1" applyAlignment="1">
      <alignment/>
    </xf>
    <xf numFmtId="8" fontId="0" fillId="0" borderId="25" xfId="0" applyNumberFormat="1" applyBorder="1" applyAlignment="1">
      <alignment/>
    </xf>
    <xf numFmtId="1" fontId="9" fillId="0" borderId="13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52" xfId="0" applyBorder="1" applyAlignment="1">
      <alignment/>
    </xf>
    <xf numFmtId="1" fontId="9" fillId="0" borderId="34" xfId="0" applyNumberFormat="1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190" fontId="8" fillId="34" borderId="16" xfId="44" applyNumberFormat="1" applyFont="1" applyFill="1" applyBorder="1" applyAlignment="1" applyProtection="1">
      <alignment/>
      <protection locked="0"/>
    </xf>
    <xf numFmtId="0" fontId="18" fillId="0" borderId="0" xfId="0" applyFont="1" applyFill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80" fontId="17" fillId="0" borderId="0" xfId="0" applyNumberFormat="1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180" fontId="17" fillId="0" borderId="0" xfId="0" applyNumberFormat="1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87" fontId="7" fillId="0" borderId="0" xfId="0" applyNumberFormat="1" applyFont="1" applyAlignment="1">
      <alignment horizontal="left"/>
    </xf>
    <xf numFmtId="0" fontId="2" fillId="0" borderId="0" xfId="0" applyFont="1" applyBorder="1" applyAlignment="1" applyProtection="1">
      <alignment/>
      <protection/>
    </xf>
    <xf numFmtId="171" fontId="0" fillId="0" borderId="0" xfId="0" applyNumberFormat="1" applyAlignment="1">
      <alignment/>
    </xf>
    <xf numFmtId="0" fontId="2" fillId="0" borderId="16" xfId="0" applyFont="1" applyBorder="1" applyAlignment="1" applyProtection="1">
      <alignment/>
      <protection/>
    </xf>
    <xf numFmtId="0" fontId="2" fillId="0" borderId="53" xfId="0" applyFont="1" applyBorder="1" applyAlignment="1" applyProtection="1">
      <alignment/>
      <protection/>
    </xf>
    <xf numFmtId="0" fontId="2" fillId="0" borderId="54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37" fontId="2" fillId="0" borderId="16" xfId="0" applyNumberFormat="1" applyFont="1" applyBorder="1" applyAlignment="1" applyProtection="1">
      <alignment/>
      <protection/>
    </xf>
    <xf numFmtId="171" fontId="2" fillId="0" borderId="16" xfId="0" applyNumberFormat="1" applyFont="1" applyBorder="1" applyAlignment="1" applyProtection="1">
      <alignment/>
      <protection/>
    </xf>
    <xf numFmtId="167" fontId="2" fillId="0" borderId="16" xfId="0" applyNumberFormat="1" applyFont="1" applyBorder="1" applyAlignment="1" applyProtection="1">
      <alignment/>
      <protection/>
    </xf>
    <xf numFmtId="37" fontId="2" fillId="0" borderId="17" xfId="0" applyNumberFormat="1" applyFont="1" applyBorder="1" applyAlignment="1" applyProtection="1">
      <alignment/>
      <protection/>
    </xf>
    <xf numFmtId="171" fontId="2" fillId="0" borderId="17" xfId="0" applyNumberFormat="1" applyFont="1" applyBorder="1" applyAlignment="1" applyProtection="1">
      <alignment/>
      <protection/>
    </xf>
    <xf numFmtId="167" fontId="2" fillId="0" borderId="17" xfId="0" applyNumberFormat="1" applyFont="1" applyBorder="1" applyAlignment="1" applyProtection="1">
      <alignment/>
      <protection/>
    </xf>
    <xf numFmtId="180" fontId="13" fillId="0" borderId="18" xfId="0" applyNumberFormat="1" applyFont="1" applyBorder="1" applyAlignment="1">
      <alignment shrinkToFit="1"/>
    </xf>
    <xf numFmtId="0" fontId="0" fillId="0" borderId="0" xfId="0" applyFont="1" applyAlignment="1">
      <alignment/>
    </xf>
    <xf numFmtId="0" fontId="0" fillId="0" borderId="54" xfId="0" applyFont="1" applyBorder="1" applyAlignment="1" applyProtection="1">
      <alignment horizontal="right"/>
      <protection/>
    </xf>
    <xf numFmtId="0" fontId="13" fillId="0" borderId="55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80" fontId="0" fillId="0" borderId="0" xfId="0" applyNumberFormat="1" applyFont="1" applyBorder="1" applyAlignment="1" applyProtection="1">
      <alignment/>
      <protection/>
    </xf>
    <xf numFmtId="199" fontId="2" fillId="0" borderId="17" xfId="44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9" fillId="33" borderId="13" xfId="0" applyFont="1" applyFill="1" applyBorder="1" applyAlignment="1">
      <alignment horizontal="center"/>
    </xf>
    <xf numFmtId="180" fontId="0" fillId="33" borderId="19" xfId="0" applyNumberFormat="1" applyFill="1" applyBorder="1" applyAlignment="1">
      <alignment/>
    </xf>
    <xf numFmtId="180" fontId="0" fillId="33" borderId="16" xfId="0" applyNumberFormat="1" applyFill="1" applyBorder="1" applyAlignment="1">
      <alignment/>
    </xf>
    <xf numFmtId="180" fontId="0" fillId="33" borderId="25" xfId="0" applyNumberFormat="1" applyFill="1" applyBorder="1" applyAlignment="1">
      <alignment/>
    </xf>
    <xf numFmtId="44" fontId="0" fillId="33" borderId="19" xfId="44" applyFont="1" applyFill="1" applyBorder="1" applyAlignment="1">
      <alignment/>
    </xf>
    <xf numFmtId="44" fontId="0" fillId="33" borderId="16" xfId="44" applyFont="1" applyFill="1" applyBorder="1" applyAlignment="1">
      <alignment/>
    </xf>
    <xf numFmtId="44" fontId="0" fillId="33" borderId="25" xfId="44" applyFont="1" applyFill="1" applyBorder="1" applyAlignment="1">
      <alignment/>
    </xf>
    <xf numFmtId="44" fontId="0" fillId="0" borderId="0" xfId="44" applyFont="1" applyAlignment="1">
      <alignment/>
    </xf>
    <xf numFmtId="44" fontId="0" fillId="0" borderId="19" xfId="44" applyFont="1" applyBorder="1" applyAlignment="1">
      <alignment/>
    </xf>
    <xf numFmtId="44" fontId="0" fillId="0" borderId="16" xfId="44" applyFont="1" applyBorder="1" applyAlignment="1">
      <alignment/>
    </xf>
    <xf numFmtId="44" fontId="0" fillId="0" borderId="25" xfId="44" applyFont="1" applyBorder="1" applyAlignment="1">
      <alignment/>
    </xf>
    <xf numFmtId="0" fontId="22" fillId="0" borderId="31" xfId="0" applyFont="1" applyBorder="1" applyAlignment="1">
      <alignment horizontal="center"/>
    </xf>
    <xf numFmtId="10" fontId="22" fillId="0" borderId="31" xfId="0" applyNumberFormat="1" applyFont="1" applyBorder="1" applyAlignment="1">
      <alignment horizontal="center"/>
    </xf>
    <xf numFmtId="0" fontId="22" fillId="33" borderId="31" xfId="0" applyFont="1" applyFill="1" applyBorder="1" applyAlignment="1">
      <alignment horizontal="center"/>
    </xf>
    <xf numFmtId="10" fontId="22" fillId="0" borderId="31" xfId="61" applyNumberFormat="1" applyFont="1" applyBorder="1" applyAlignment="1">
      <alignment horizontal="center"/>
    </xf>
    <xf numFmtId="0" fontId="23" fillId="0" borderId="0" xfId="0" applyFont="1" applyAlignment="1">
      <alignment/>
    </xf>
    <xf numFmtId="17" fontId="22" fillId="0" borderId="31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44" fontId="0" fillId="0" borderId="0" xfId="44" applyFont="1" applyBorder="1" applyAlignment="1">
      <alignment/>
    </xf>
    <xf numFmtId="44" fontId="0" fillId="0" borderId="19" xfId="44" applyFont="1" applyFill="1" applyBorder="1" applyAlignment="1">
      <alignment/>
    </xf>
    <xf numFmtId="44" fontId="0" fillId="0" borderId="16" xfId="44" applyFont="1" applyFill="1" applyBorder="1" applyAlignment="1">
      <alignment/>
    </xf>
    <xf numFmtId="44" fontId="0" fillId="0" borderId="25" xfId="44" applyFont="1" applyFill="1" applyBorder="1" applyAlignment="1">
      <alignment/>
    </xf>
    <xf numFmtId="44" fontId="0" fillId="0" borderId="0" xfId="44" applyFont="1" applyFill="1" applyAlignment="1">
      <alignment/>
    </xf>
    <xf numFmtId="180" fontId="13" fillId="0" borderId="0" xfId="0" applyNumberFormat="1" applyFont="1" applyAlignment="1">
      <alignment horizontal="left"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197" fontId="2" fillId="34" borderId="55" xfId="42" applyNumberFormat="1" applyFont="1" applyFill="1" applyBorder="1" applyAlignment="1" applyProtection="1">
      <alignment/>
      <protection/>
    </xf>
    <xf numFmtId="197" fontId="2" fillId="34" borderId="17" xfId="42" applyNumberFormat="1" applyFont="1" applyFill="1" applyBorder="1" applyAlignment="1" applyProtection="1">
      <alignment/>
      <protection/>
    </xf>
    <xf numFmtId="197" fontId="2" fillId="34" borderId="53" xfId="42" applyNumberFormat="1" applyFont="1" applyFill="1" applyBorder="1" applyAlignment="1" applyProtection="1">
      <alignment/>
      <protection/>
    </xf>
    <xf numFmtId="197" fontId="2" fillId="34" borderId="16" xfId="42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hidden="1"/>
    </xf>
    <xf numFmtId="180" fontId="13" fillId="0" borderId="53" xfId="0" applyNumberFormat="1" applyFont="1" applyBorder="1" applyAlignment="1" applyProtection="1">
      <alignment/>
      <protection/>
    </xf>
    <xf numFmtId="180" fontId="13" fillId="0" borderId="16" xfId="0" applyNumberFormat="1" applyFont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203" fontId="8" fillId="34" borderId="16" xfId="42" applyNumberFormat="1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190" fontId="8" fillId="0" borderId="0" xfId="44" applyNumberFormat="1" applyFont="1" applyFill="1" applyBorder="1" applyAlignment="1" applyProtection="1">
      <alignment/>
      <protection locked="0"/>
    </xf>
    <xf numFmtId="190" fontId="17" fillId="0" borderId="0" xfId="44" applyNumberFormat="1" applyFont="1" applyFill="1" applyAlignment="1" applyProtection="1">
      <alignment/>
      <protection hidden="1"/>
    </xf>
    <xf numFmtId="201" fontId="0" fillId="0" borderId="0" xfId="0" applyNumberFormat="1" applyAlignment="1">
      <alignment/>
    </xf>
    <xf numFmtId="0" fontId="13" fillId="0" borderId="0" xfId="0" applyFont="1" applyAlignment="1" quotePrefix="1">
      <alignment/>
    </xf>
    <xf numFmtId="190" fontId="2" fillId="34" borderId="18" xfId="44" applyNumberFormat="1" applyFont="1" applyFill="1" applyBorder="1" applyAlignment="1" applyProtection="1">
      <alignment/>
      <protection locked="0"/>
    </xf>
    <xf numFmtId="190" fontId="2" fillId="34" borderId="42" xfId="44" applyNumberFormat="1" applyFont="1" applyFill="1" applyBorder="1" applyAlignment="1" applyProtection="1">
      <alignment/>
      <protection locked="0"/>
    </xf>
    <xf numFmtId="190" fontId="2" fillId="34" borderId="17" xfId="44" applyNumberFormat="1" applyFont="1" applyFill="1" applyBorder="1" applyAlignment="1" applyProtection="1">
      <alignment/>
      <protection locked="0"/>
    </xf>
    <xf numFmtId="0" fontId="25" fillId="0" borderId="0" xfId="0" applyFont="1" applyAlignment="1" applyProtection="1">
      <alignment horizontal="centerContinuous"/>
      <protection/>
    </xf>
    <xf numFmtId="0" fontId="9" fillId="0" borderId="28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6" fillId="0" borderId="0" xfId="58" applyFont="1" applyFill="1" applyProtection="1">
      <alignment/>
      <protection hidden="1"/>
    </xf>
    <xf numFmtId="190" fontId="66" fillId="0" borderId="0" xfId="46" applyNumberFormat="1" applyFont="1" applyFill="1" applyBorder="1" applyAlignment="1" applyProtection="1">
      <alignment/>
      <protection locked="0"/>
    </xf>
    <xf numFmtId="0" fontId="13" fillId="0" borderId="0" xfId="58" applyFont="1" applyFill="1" applyAlignment="1" applyProtection="1">
      <alignment horizontal="left"/>
      <protection hidden="1"/>
    </xf>
    <xf numFmtId="0" fontId="13" fillId="0" borderId="0" xfId="58" applyFont="1" applyFill="1" applyProtection="1">
      <alignment/>
      <protection hidden="1"/>
    </xf>
    <xf numFmtId="0" fontId="13" fillId="0" borderId="0" xfId="58" applyFont="1" applyFill="1" applyProtection="1">
      <alignment/>
      <protection/>
    </xf>
    <xf numFmtId="190" fontId="27" fillId="36" borderId="16" xfId="46" applyNumberFormat="1" applyFont="1" applyFill="1" applyBorder="1" applyAlignment="1" applyProtection="1">
      <alignment/>
      <protection locked="0"/>
    </xf>
    <xf numFmtId="0" fontId="15" fillId="0" borderId="0" xfId="58" applyFont="1" applyFill="1" applyAlignment="1" applyProtection="1">
      <alignment horizontal="left"/>
      <protection/>
    </xf>
    <xf numFmtId="0" fontId="15" fillId="0" borderId="0" xfId="58" applyFont="1" applyFill="1" applyProtection="1">
      <alignment/>
      <protection/>
    </xf>
    <xf numFmtId="0" fontId="67" fillId="0" borderId="0" xfId="0" applyFont="1" applyFill="1" applyAlignment="1" applyProtection="1">
      <alignment/>
      <protection hidden="1"/>
    </xf>
    <xf numFmtId="0" fontId="67" fillId="0" borderId="0" xfId="0" applyFont="1" applyFill="1" applyBorder="1" applyAlignment="1" applyProtection="1">
      <alignment/>
      <protection hidden="1"/>
    </xf>
    <xf numFmtId="0" fontId="67" fillId="0" borderId="0" xfId="0" applyFont="1" applyFill="1" applyBorder="1" applyAlignment="1" applyProtection="1">
      <alignment/>
      <protection/>
    </xf>
    <xf numFmtId="0" fontId="68" fillId="0" borderId="0" xfId="0" applyFont="1" applyFill="1" applyAlignment="1" applyProtection="1">
      <alignment/>
      <protection hidden="1"/>
    </xf>
    <xf numFmtId="0" fontId="68" fillId="0" borderId="0" xfId="0" applyFont="1" applyFill="1" applyBorder="1" applyAlignment="1" applyProtection="1">
      <alignment/>
      <protection hidden="1"/>
    </xf>
    <xf numFmtId="185" fontId="69" fillId="0" borderId="0" xfId="42" applyNumberFormat="1" applyFont="1" applyFill="1" applyBorder="1" applyAlignment="1" applyProtection="1">
      <alignment/>
      <protection hidden="1"/>
    </xf>
    <xf numFmtId="0" fontId="70" fillId="0" borderId="0" xfId="0" applyFont="1" applyFill="1" applyBorder="1" applyAlignment="1" applyProtection="1">
      <alignment/>
      <protection hidden="1"/>
    </xf>
    <xf numFmtId="180" fontId="71" fillId="0" borderId="0" xfId="0" applyNumberFormat="1" applyFont="1" applyFill="1" applyBorder="1" applyAlignment="1" applyProtection="1">
      <alignment/>
      <protection hidden="1"/>
    </xf>
    <xf numFmtId="0" fontId="71" fillId="0" borderId="0" xfId="0" applyFont="1" applyFill="1" applyBorder="1" applyAlignment="1" applyProtection="1">
      <alignment/>
      <protection hidden="1"/>
    </xf>
    <xf numFmtId="10" fontId="69" fillId="0" borderId="0" xfId="61" applyNumberFormat="1" applyFont="1" applyFill="1" applyBorder="1" applyAlignment="1" applyProtection="1">
      <alignment/>
      <protection hidden="1"/>
    </xf>
    <xf numFmtId="10" fontId="71" fillId="0" borderId="0" xfId="61" applyNumberFormat="1" applyFont="1" applyFill="1" applyBorder="1" applyAlignment="1" applyProtection="1">
      <alignment/>
      <protection hidden="1"/>
    </xf>
    <xf numFmtId="190" fontId="69" fillId="0" borderId="0" xfId="44" applyNumberFormat="1" applyFont="1" applyFill="1" applyBorder="1" applyAlignment="1" applyProtection="1">
      <alignment/>
      <protection hidden="1"/>
    </xf>
    <xf numFmtId="180" fontId="70" fillId="0" borderId="0" xfId="0" applyNumberFormat="1" applyFont="1" applyFill="1" applyBorder="1" applyAlignment="1" applyProtection="1">
      <alignment/>
      <protection hidden="1"/>
    </xf>
    <xf numFmtId="0" fontId="70" fillId="0" borderId="0" xfId="0" applyFont="1" applyFill="1" applyAlignment="1" applyProtection="1">
      <alignment/>
      <protection/>
    </xf>
    <xf numFmtId="0" fontId="71" fillId="0" borderId="0" xfId="0" applyFont="1" applyFill="1" applyBorder="1" applyAlignment="1" applyProtection="1">
      <alignment/>
      <protection/>
    </xf>
    <xf numFmtId="0" fontId="70" fillId="0" borderId="0" xfId="0" applyFont="1" applyFill="1" applyBorder="1" applyAlignment="1" applyProtection="1">
      <alignment/>
      <protection/>
    </xf>
    <xf numFmtId="180" fontId="71" fillId="0" borderId="0" xfId="0" applyNumberFormat="1" applyFont="1" applyFill="1" applyBorder="1" applyAlignment="1" applyProtection="1">
      <alignment/>
      <protection/>
    </xf>
    <xf numFmtId="8" fontId="0" fillId="0" borderId="52" xfId="0" applyNumberFormat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 hidden="1"/>
    </xf>
    <xf numFmtId="0" fontId="24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24" fillId="0" borderId="0" xfId="0" applyFont="1" applyFill="1" applyAlignment="1" applyProtection="1">
      <alignment/>
      <protection hidden="1"/>
    </xf>
    <xf numFmtId="185" fontId="2" fillId="0" borderId="0" xfId="42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80" fontId="13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1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47" xfId="0" applyFont="1" applyBorder="1" applyAlignment="1" applyProtection="1">
      <alignment horizontal="center"/>
      <protection/>
    </xf>
    <xf numFmtId="0" fontId="0" fillId="0" borderId="48" xfId="0" applyFont="1" applyBorder="1" applyAlignment="1" applyProtection="1">
      <alignment horizontal="center"/>
      <protection/>
    </xf>
    <xf numFmtId="0" fontId="0" fillId="0" borderId="49" xfId="0" applyFont="1" applyBorder="1" applyAlignment="1" applyProtection="1">
      <alignment horizontal="center"/>
      <protection/>
    </xf>
    <xf numFmtId="0" fontId="0" fillId="0" borderId="57" xfId="0" applyFont="1" applyBorder="1" applyAlignment="1" applyProtection="1">
      <alignment horizontal="center"/>
      <protection/>
    </xf>
    <xf numFmtId="0" fontId="0" fillId="0" borderId="58" xfId="0" applyFont="1" applyBorder="1" applyAlignment="1" applyProtection="1">
      <alignment horizontal="center"/>
      <protection/>
    </xf>
    <xf numFmtId="201" fontId="13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1"/>
  <sheetViews>
    <sheetView tabSelected="1"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39.140625" style="13" customWidth="1"/>
    <col min="2" max="2" width="18.00390625" style="13" customWidth="1"/>
    <col min="3" max="3" width="2.28125" style="13" customWidth="1"/>
    <col min="4" max="4" width="11.00390625" style="13" customWidth="1"/>
    <col min="5" max="5" width="12.421875" style="13" customWidth="1"/>
    <col min="6" max="6" width="12.57421875" style="13" customWidth="1"/>
    <col min="7" max="8" width="9.140625" style="13" customWidth="1"/>
    <col min="9" max="9" width="15.8515625" style="13" customWidth="1"/>
    <col min="10" max="16384" width="9.140625" style="13" customWidth="1"/>
  </cols>
  <sheetData>
    <row r="1" spans="1:2" ht="18.75" thickBot="1">
      <c r="A1" s="100" t="s">
        <v>0</v>
      </c>
      <c r="B1" s="6"/>
    </row>
    <row r="2" spans="1:7" ht="21" thickBot="1">
      <c r="A2" s="210" t="s">
        <v>175</v>
      </c>
      <c r="B2" s="101" t="s">
        <v>1</v>
      </c>
      <c r="C2" s="103"/>
      <c r="D2" s="103"/>
      <c r="E2" s="102"/>
      <c r="F2" s="103"/>
      <c r="G2" s="104"/>
    </row>
    <row r="3" spans="1:4" ht="15">
      <c r="A3" s="199"/>
      <c r="B3" s="109"/>
      <c r="C3" s="98" t="s">
        <v>2</v>
      </c>
      <c r="D3" s="99" t="s">
        <v>3</v>
      </c>
    </row>
    <row r="4" spans="1:5" ht="15">
      <c r="A4" s="14"/>
      <c r="B4" s="105"/>
      <c r="C4" s="98"/>
      <c r="D4" s="99"/>
      <c r="E4" s="105"/>
    </row>
    <row r="5" spans="1:10" ht="15">
      <c r="A5" s="188" t="s">
        <v>152</v>
      </c>
      <c r="B5" s="107"/>
      <c r="C5" s="108" t="s">
        <v>2</v>
      </c>
      <c r="D5" s="99" t="s">
        <v>4</v>
      </c>
      <c r="E5" s="106"/>
      <c r="H5" s="112" t="s">
        <v>7</v>
      </c>
      <c r="I5" s="112"/>
      <c r="J5" s="112"/>
    </row>
    <row r="6" spans="1:11" ht="15">
      <c r="A6" s="188" t="s">
        <v>153</v>
      </c>
      <c r="B6" s="131"/>
      <c r="C6" s="108" t="s">
        <v>2</v>
      </c>
      <c r="D6" s="99" t="s">
        <v>5</v>
      </c>
      <c r="E6" s="105"/>
      <c r="H6" s="112" t="s">
        <v>8</v>
      </c>
      <c r="I6" s="112"/>
      <c r="J6" s="112"/>
      <c r="K6" s="110"/>
    </row>
    <row r="7" spans="1:11" ht="15">
      <c r="A7" s="6" t="s">
        <v>154</v>
      </c>
      <c r="B7" s="107"/>
      <c r="C7" s="108" t="s">
        <v>2</v>
      </c>
      <c r="D7" s="99" t="s">
        <v>4</v>
      </c>
      <c r="E7" s="106"/>
      <c r="H7" s="112" t="s">
        <v>9</v>
      </c>
      <c r="I7" s="112"/>
      <c r="J7" s="112"/>
      <c r="K7" s="112"/>
    </row>
    <row r="8" spans="1:5" ht="15">
      <c r="A8" s="6" t="s">
        <v>155</v>
      </c>
      <c r="B8" s="131"/>
      <c r="C8" s="108" t="s">
        <v>2</v>
      </c>
      <c r="D8" s="99" t="s">
        <v>5</v>
      </c>
      <c r="E8" s="105"/>
    </row>
    <row r="9" spans="1:5" ht="15">
      <c r="A9" s="189" t="s">
        <v>142</v>
      </c>
      <c r="B9" s="200"/>
      <c r="C9" s="108" t="s">
        <v>2</v>
      </c>
      <c r="D9" s="99" t="s">
        <v>174</v>
      </c>
      <c r="E9" s="105"/>
    </row>
    <row r="10" spans="1:8" ht="15">
      <c r="A10" s="113" t="s">
        <v>6</v>
      </c>
      <c r="B10" s="131"/>
      <c r="C10" s="108" t="s">
        <v>2</v>
      </c>
      <c r="D10" s="99" t="s">
        <v>5</v>
      </c>
      <c r="E10" s="105"/>
      <c r="H10" s="110"/>
    </row>
    <row r="11" spans="3:8" ht="12.75">
      <c r="C11" s="111"/>
      <c r="H11" s="110"/>
    </row>
    <row r="12" spans="1:8" ht="15.75">
      <c r="A12" s="201" t="s">
        <v>11</v>
      </c>
      <c r="B12" s="202"/>
      <c r="C12" s="111"/>
      <c r="H12" s="110"/>
    </row>
    <row r="13" spans="1:8" ht="15">
      <c r="A13" s="202" t="s">
        <v>12</v>
      </c>
      <c r="B13" s="207"/>
      <c r="C13" s="111"/>
      <c r="H13" s="110"/>
    </row>
    <row r="14" spans="1:8" ht="15">
      <c r="A14" s="202" t="s">
        <v>13</v>
      </c>
      <c r="B14" s="208"/>
      <c r="C14" s="111"/>
      <c r="H14" s="110"/>
    </row>
    <row r="15" spans="1:8" ht="15">
      <c r="A15" s="202" t="s">
        <v>14</v>
      </c>
      <c r="B15" s="208"/>
      <c r="C15" s="111"/>
      <c r="H15" s="110"/>
    </row>
    <row r="16" spans="1:8" ht="15">
      <c r="A16" s="202" t="s">
        <v>15</v>
      </c>
      <c r="B16" s="208"/>
      <c r="C16" s="111"/>
      <c r="H16" s="110"/>
    </row>
    <row r="17" spans="1:8" ht="15" hidden="1">
      <c r="A17" s="202" t="s">
        <v>161</v>
      </c>
      <c r="B17" s="208">
        <v>0.0463</v>
      </c>
      <c r="C17" s="111"/>
      <c r="H17" s="110"/>
    </row>
    <row r="18" spans="1:8" ht="15" hidden="1">
      <c r="A18" s="202" t="s">
        <v>160</v>
      </c>
      <c r="B18" s="208">
        <v>0.0544</v>
      </c>
      <c r="C18" s="111"/>
      <c r="H18" s="110"/>
    </row>
    <row r="19" spans="1:8" ht="15">
      <c r="A19" s="202" t="s">
        <v>16</v>
      </c>
      <c r="B19" s="208"/>
      <c r="C19" s="111"/>
      <c r="H19" s="110"/>
    </row>
    <row r="20" spans="1:8" ht="15">
      <c r="A20" s="194" t="s">
        <v>165</v>
      </c>
      <c r="B20" s="209"/>
      <c r="C20" s="111"/>
      <c r="E20" s="204">
        <f>IF(ROUND(B20,2)&gt;B20,ROUND(B20,2),ROUND(B20+0.01,2))</f>
        <v>0.01</v>
      </c>
      <c r="H20" s="110"/>
    </row>
    <row r="21" spans="1:8" ht="15" hidden="1">
      <c r="A21" s="202" t="s">
        <v>17</v>
      </c>
      <c r="B21" s="208">
        <v>0.0263</v>
      </c>
      <c r="C21" s="111"/>
      <c r="H21" s="110"/>
    </row>
    <row r="22" spans="1:8" ht="15" hidden="1">
      <c r="A22" s="202" t="s">
        <v>18</v>
      </c>
      <c r="B22" s="209">
        <v>0.0764</v>
      </c>
      <c r="C22" s="111"/>
      <c r="H22" s="110"/>
    </row>
    <row r="23" spans="1:8" ht="15">
      <c r="A23" s="194"/>
      <c r="B23" s="203"/>
      <c r="C23" s="111"/>
      <c r="H23" s="110"/>
    </row>
    <row r="24" spans="1:8" ht="15">
      <c r="A24" s="194"/>
      <c r="B24" s="203"/>
      <c r="C24" s="111"/>
      <c r="H24" s="110"/>
    </row>
    <row r="25" spans="1:8" ht="15.75">
      <c r="A25" s="216" t="s">
        <v>168</v>
      </c>
      <c r="B25" s="217"/>
      <c r="C25" s="218"/>
      <c r="D25" s="219"/>
      <c r="H25" s="110"/>
    </row>
    <row r="26" spans="1:8" ht="15">
      <c r="A26" s="220" t="s">
        <v>169</v>
      </c>
      <c r="B26" s="221"/>
      <c r="C26" s="222" t="s">
        <v>2</v>
      </c>
      <c r="D26" s="223" t="s">
        <v>5</v>
      </c>
      <c r="H26" s="110"/>
    </row>
    <row r="27" spans="1:8" ht="15">
      <c r="A27" s="220" t="s">
        <v>170</v>
      </c>
      <c r="B27" s="221"/>
      <c r="C27" s="222" t="s">
        <v>2</v>
      </c>
      <c r="D27" s="223" t="s">
        <v>5</v>
      </c>
      <c r="E27" s="198"/>
      <c r="F27" s="198"/>
      <c r="H27" s="110"/>
    </row>
    <row r="28" spans="1:8" ht="15">
      <c r="A28" s="220" t="s">
        <v>173</v>
      </c>
      <c r="B28" s="221"/>
      <c r="C28" s="222" t="s">
        <v>2</v>
      </c>
      <c r="D28" s="223" t="s">
        <v>5</v>
      </c>
      <c r="E28" s="242"/>
      <c r="F28" s="242"/>
      <c r="G28" s="198"/>
      <c r="H28" s="110"/>
    </row>
    <row r="29" spans="1:8" ht="15.75">
      <c r="A29" s="243"/>
      <c r="B29" s="244"/>
      <c r="C29" s="245"/>
      <c r="D29" s="244"/>
      <c r="E29" s="244"/>
      <c r="F29" s="246"/>
      <c r="G29" s="224"/>
      <c r="H29" s="158"/>
    </row>
    <row r="30" spans="1:16" ht="15.75">
      <c r="A30" s="228" t="s">
        <v>10</v>
      </c>
      <c r="B30" s="229">
        <v>0.284</v>
      </c>
      <c r="C30" s="248"/>
      <c r="D30" s="249"/>
      <c r="E30" s="249"/>
      <c r="F30" s="249"/>
      <c r="G30" s="225"/>
      <c r="H30" s="159"/>
      <c r="I30" s="138"/>
      <c r="J30" s="138"/>
      <c r="K30" s="116"/>
      <c r="L30" s="138"/>
      <c r="M30" s="138"/>
      <c r="N30" s="138"/>
      <c r="O30" s="138"/>
      <c r="P30" s="138"/>
    </row>
    <row r="31" spans="1:16" ht="15">
      <c r="A31" s="232"/>
      <c r="B31" s="232"/>
      <c r="C31" s="248"/>
      <c r="D31" s="249"/>
      <c r="E31" s="249"/>
      <c r="F31" s="249"/>
      <c r="G31" s="225"/>
      <c r="H31" s="159"/>
      <c r="I31" s="138"/>
      <c r="J31" s="138"/>
      <c r="K31" s="116"/>
      <c r="L31" s="138"/>
      <c r="M31" s="138"/>
      <c r="N31" s="138"/>
      <c r="O31" s="138"/>
      <c r="P31" s="138"/>
    </row>
    <row r="32" spans="1:16" ht="15">
      <c r="A32" s="232"/>
      <c r="B32" s="232"/>
      <c r="C32" s="248"/>
      <c r="D32" s="249"/>
      <c r="E32" s="249"/>
      <c r="F32" s="249"/>
      <c r="G32" s="225"/>
      <c r="H32" s="159"/>
      <c r="I32" s="138"/>
      <c r="J32" s="138"/>
      <c r="K32" s="116"/>
      <c r="L32" s="138"/>
      <c r="M32" s="138"/>
      <c r="N32" s="138"/>
      <c r="O32" s="138"/>
      <c r="P32" s="138"/>
    </row>
    <row r="33" spans="1:16" ht="15" customHeight="1">
      <c r="A33" s="228" t="s">
        <v>19</v>
      </c>
      <c r="B33" s="229">
        <v>-0.0013</v>
      </c>
      <c r="C33" s="248"/>
      <c r="D33" s="247"/>
      <c r="E33" s="249"/>
      <c r="F33" s="249"/>
      <c r="G33" s="225"/>
      <c r="H33" s="160"/>
      <c r="I33" s="139"/>
      <c r="J33" s="138"/>
      <c r="K33" s="117"/>
      <c r="L33" s="138"/>
      <c r="M33" s="138"/>
      <c r="N33" s="138"/>
      <c r="O33" s="138"/>
      <c r="P33" s="138"/>
    </row>
    <row r="34" spans="1:16" ht="15" customHeight="1">
      <c r="A34" s="228"/>
      <c r="B34" s="229"/>
      <c r="C34" s="248"/>
      <c r="D34" s="247"/>
      <c r="E34" s="249"/>
      <c r="F34" s="249"/>
      <c r="G34" s="225"/>
      <c r="H34" s="160"/>
      <c r="I34" s="139"/>
      <c r="J34" s="138"/>
      <c r="K34" s="117"/>
      <c r="L34" s="138"/>
      <c r="M34" s="138"/>
      <c r="N34" s="138"/>
      <c r="O34" s="138"/>
      <c r="P34" s="138"/>
    </row>
    <row r="35" spans="1:16" ht="15" customHeight="1">
      <c r="A35" s="228" t="s">
        <v>159</v>
      </c>
      <c r="B35" s="229">
        <v>0</v>
      </c>
      <c r="C35" s="248"/>
      <c r="D35" s="247"/>
      <c r="E35" s="249"/>
      <c r="F35" s="249"/>
      <c r="G35" s="225"/>
      <c r="H35" s="160"/>
      <c r="I35" s="139"/>
      <c r="J35" s="138"/>
      <c r="K35" s="117"/>
      <c r="L35" s="138"/>
      <c r="M35" s="138"/>
      <c r="N35" s="138"/>
      <c r="O35" s="138"/>
      <c r="P35" s="138"/>
    </row>
    <row r="36" spans="1:16" ht="15">
      <c r="A36" s="232"/>
      <c r="B36" s="232"/>
      <c r="C36" s="248"/>
      <c r="D36" s="249"/>
      <c r="E36" s="249"/>
      <c r="F36" s="249"/>
      <c r="G36" s="225"/>
      <c r="H36" s="159"/>
      <c r="I36" s="138"/>
      <c r="J36" s="138"/>
      <c r="K36" s="116"/>
      <c r="L36" s="138"/>
      <c r="M36" s="138"/>
      <c r="N36" s="138"/>
      <c r="O36" s="138"/>
      <c r="P36" s="138"/>
    </row>
    <row r="37" spans="1:16" ht="15.75">
      <c r="A37" s="228" t="s">
        <v>20</v>
      </c>
      <c r="B37" s="232"/>
      <c r="C37" s="248"/>
      <c r="D37" s="249"/>
      <c r="E37" s="249"/>
      <c r="F37" s="249"/>
      <c r="G37" s="225"/>
      <c r="H37" s="159"/>
      <c r="I37" s="138"/>
      <c r="J37" s="138"/>
      <c r="K37" s="116"/>
      <c r="L37" s="138"/>
      <c r="M37" s="138"/>
      <c r="N37" s="138"/>
      <c r="O37" s="138"/>
      <c r="P37" s="138"/>
    </row>
    <row r="38" spans="1:16" ht="15">
      <c r="A38" s="232" t="s">
        <v>21</v>
      </c>
      <c r="B38" s="232">
        <v>0</v>
      </c>
      <c r="C38" s="248"/>
      <c r="D38" s="249"/>
      <c r="E38" s="249"/>
      <c r="F38" s="249"/>
      <c r="G38" s="225"/>
      <c r="H38" s="159"/>
      <c r="I38" s="138"/>
      <c r="J38" s="138"/>
      <c r="K38" s="116"/>
      <c r="L38" s="138"/>
      <c r="M38" s="138"/>
      <c r="N38" s="138"/>
      <c r="O38" s="138"/>
      <c r="P38" s="138"/>
    </row>
    <row r="39" spans="1:16" ht="15">
      <c r="A39" s="232" t="s">
        <v>22</v>
      </c>
      <c r="B39" s="231">
        <v>0.0001</v>
      </c>
      <c r="C39" s="248"/>
      <c r="D39" s="249"/>
      <c r="E39" s="249"/>
      <c r="F39" s="249"/>
      <c r="G39" s="225"/>
      <c r="H39" s="159"/>
      <c r="I39" s="138"/>
      <c r="J39" s="138"/>
      <c r="K39" s="116"/>
      <c r="L39" s="138"/>
      <c r="M39" s="138"/>
      <c r="N39" s="138"/>
      <c r="O39" s="138"/>
      <c r="P39" s="138"/>
    </row>
    <row r="40" spans="1:16" ht="15">
      <c r="A40" s="232" t="s">
        <v>23</v>
      </c>
      <c r="B40" s="231">
        <v>0.0002</v>
      </c>
      <c r="C40" s="248"/>
      <c r="D40" s="249"/>
      <c r="E40" s="249"/>
      <c r="F40" s="249"/>
      <c r="G40" s="225"/>
      <c r="H40" s="159"/>
      <c r="I40" s="138"/>
      <c r="J40" s="138"/>
      <c r="K40" s="117"/>
      <c r="L40" s="138"/>
      <c r="M40" s="138"/>
      <c r="N40" s="138"/>
      <c r="O40" s="138"/>
      <c r="P40" s="138"/>
    </row>
    <row r="41" spans="1:16" ht="15">
      <c r="A41" s="232" t="s">
        <v>24</v>
      </c>
      <c r="B41" s="231">
        <v>0.001</v>
      </c>
      <c r="C41" s="248"/>
      <c r="D41" s="249"/>
      <c r="E41" s="249"/>
      <c r="F41" s="249"/>
      <c r="G41" s="225"/>
      <c r="H41" s="159"/>
      <c r="I41" s="138"/>
      <c r="J41" s="138"/>
      <c r="K41" s="117"/>
      <c r="L41" s="138"/>
      <c r="M41" s="138"/>
      <c r="N41" s="138"/>
      <c r="O41" s="138"/>
      <c r="P41" s="138"/>
    </row>
    <row r="42" spans="1:16" ht="15">
      <c r="A42" s="232" t="s">
        <v>25</v>
      </c>
      <c r="B42" s="231">
        <f>B26</f>
        <v>0</v>
      </c>
      <c r="C42" s="248"/>
      <c r="D42" s="249"/>
      <c r="E42" s="249"/>
      <c r="F42" s="249"/>
      <c r="G42" s="225"/>
      <c r="H42" s="159"/>
      <c r="I42" s="138"/>
      <c r="J42" s="138"/>
      <c r="K42" s="117"/>
      <c r="L42" s="138"/>
      <c r="M42" s="138"/>
      <c r="N42" s="138"/>
      <c r="O42" s="138"/>
      <c r="P42" s="138"/>
    </row>
    <row r="43" spans="1:16" ht="15">
      <c r="A43" s="232" t="s">
        <v>50</v>
      </c>
      <c r="B43" s="231">
        <f>B27</f>
        <v>0</v>
      </c>
      <c r="C43" s="248"/>
      <c r="D43" s="249"/>
      <c r="E43" s="249"/>
      <c r="F43" s="249"/>
      <c r="G43" s="225"/>
      <c r="H43" s="159"/>
      <c r="I43" s="138"/>
      <c r="J43" s="138"/>
      <c r="K43" s="117"/>
      <c r="L43" s="138"/>
      <c r="M43" s="138"/>
      <c r="N43" s="138"/>
      <c r="O43" s="138"/>
      <c r="P43" s="138"/>
    </row>
    <row r="44" spans="1:16" ht="15">
      <c r="A44" s="232" t="s">
        <v>171</v>
      </c>
      <c r="B44" s="231">
        <f>B28</f>
        <v>0</v>
      </c>
      <c r="C44" s="248"/>
      <c r="D44" s="249"/>
      <c r="E44" s="249"/>
      <c r="F44" s="249"/>
      <c r="G44" s="225"/>
      <c r="H44" s="159"/>
      <c r="I44" s="138"/>
      <c r="J44" s="138"/>
      <c r="K44" s="117"/>
      <c r="L44" s="138"/>
      <c r="M44" s="138"/>
      <c r="N44" s="138"/>
      <c r="O44" s="138"/>
      <c r="P44" s="138"/>
    </row>
    <row r="45" spans="1:16" ht="15">
      <c r="A45" s="232" t="s">
        <v>27</v>
      </c>
      <c r="B45" s="231">
        <v>0.0256</v>
      </c>
      <c r="C45" s="248"/>
      <c r="D45" s="249"/>
      <c r="E45" s="249"/>
      <c r="F45" s="249"/>
      <c r="G45" s="225"/>
      <c r="H45" s="159"/>
      <c r="I45" s="138"/>
      <c r="J45" s="138"/>
      <c r="K45" s="117"/>
      <c r="L45" s="138"/>
      <c r="M45" s="138"/>
      <c r="N45" s="138"/>
      <c r="O45" s="138"/>
      <c r="P45" s="138"/>
    </row>
    <row r="46" spans="1:16" ht="15">
      <c r="A46" s="232" t="s">
        <v>141</v>
      </c>
      <c r="B46" s="231">
        <v>0.1305</v>
      </c>
      <c r="C46" s="248"/>
      <c r="D46" s="249"/>
      <c r="E46" s="249"/>
      <c r="F46" s="249"/>
      <c r="G46" s="225"/>
      <c r="H46" s="159"/>
      <c r="I46" s="138"/>
      <c r="J46" s="138"/>
      <c r="K46" s="116"/>
      <c r="L46" s="138"/>
      <c r="M46" s="138"/>
      <c r="N46" s="138"/>
      <c r="O46" s="138"/>
      <c r="P46" s="138"/>
    </row>
    <row r="47" spans="1:16" ht="15">
      <c r="A47" s="232"/>
      <c r="B47" s="231"/>
      <c r="C47" s="248"/>
      <c r="D47" s="249"/>
      <c r="E47" s="249"/>
      <c r="F47" s="249"/>
      <c r="G47" s="225"/>
      <c r="H47" s="159"/>
      <c r="I47" s="138"/>
      <c r="J47" s="138"/>
      <c r="K47" s="116"/>
      <c r="L47" s="138"/>
      <c r="M47" s="138"/>
      <c r="N47" s="138"/>
      <c r="O47" s="138"/>
      <c r="P47" s="138"/>
    </row>
    <row r="48" spans="1:16" ht="15.75">
      <c r="A48" s="228" t="s">
        <v>143</v>
      </c>
      <c r="B48" s="231"/>
      <c r="C48" s="248"/>
      <c r="D48" s="249"/>
      <c r="E48" s="249"/>
      <c r="F48" s="249"/>
      <c r="G48" s="225"/>
      <c r="H48" s="159"/>
      <c r="I48" s="138"/>
      <c r="J48" s="138"/>
      <c r="K48" s="116"/>
      <c r="L48" s="138"/>
      <c r="M48" s="138"/>
      <c r="N48" s="138"/>
      <c r="O48" s="138"/>
      <c r="P48" s="138"/>
    </row>
    <row r="49" spans="1:16" ht="15">
      <c r="A49" s="232" t="s">
        <v>21</v>
      </c>
      <c r="B49" s="231">
        <v>-0.0008</v>
      </c>
      <c r="C49" s="248"/>
      <c r="D49" s="249"/>
      <c r="E49" s="249"/>
      <c r="F49" s="249"/>
      <c r="G49" s="225"/>
      <c r="H49" s="159"/>
      <c r="I49" s="138"/>
      <c r="J49" s="138"/>
      <c r="K49" s="116"/>
      <c r="L49" s="138"/>
      <c r="M49" s="138"/>
      <c r="N49" s="138"/>
      <c r="O49" s="138"/>
      <c r="P49" s="138"/>
    </row>
    <row r="50" spans="1:16" ht="15">
      <c r="A50" s="232" t="s">
        <v>22</v>
      </c>
      <c r="B50" s="231">
        <f>B$49</f>
        <v>-0.0008</v>
      </c>
      <c r="C50" s="248"/>
      <c r="D50" s="249"/>
      <c r="E50" s="249"/>
      <c r="F50" s="249"/>
      <c r="G50" s="225"/>
      <c r="H50" s="159"/>
      <c r="I50" s="138"/>
      <c r="J50" s="138"/>
      <c r="K50" s="116"/>
      <c r="L50" s="138"/>
      <c r="M50" s="138"/>
      <c r="N50" s="138"/>
      <c r="O50" s="138"/>
      <c r="P50" s="138"/>
    </row>
    <row r="51" spans="1:16" ht="15">
      <c r="A51" s="232" t="s">
        <v>23</v>
      </c>
      <c r="B51" s="231">
        <f aca="true" t="shared" si="0" ref="B51:B56">B$49</f>
        <v>-0.0008</v>
      </c>
      <c r="C51" s="248"/>
      <c r="D51" s="249"/>
      <c r="E51" s="249"/>
      <c r="F51" s="249"/>
      <c r="G51" s="225"/>
      <c r="H51" s="159"/>
      <c r="I51" s="138"/>
      <c r="J51" s="138"/>
      <c r="K51" s="116"/>
      <c r="L51" s="138"/>
      <c r="M51" s="138"/>
      <c r="N51" s="138"/>
      <c r="O51" s="138"/>
      <c r="P51" s="138"/>
    </row>
    <row r="52" spans="1:16" ht="15">
      <c r="A52" s="232" t="s">
        <v>24</v>
      </c>
      <c r="B52" s="231">
        <f t="shared" si="0"/>
        <v>-0.0008</v>
      </c>
      <c r="C52" s="248"/>
      <c r="D52" s="249"/>
      <c r="E52" s="249"/>
      <c r="F52" s="249"/>
      <c r="G52" s="225"/>
      <c r="H52" s="159"/>
      <c r="I52" s="138"/>
      <c r="J52" s="138"/>
      <c r="K52" s="116"/>
      <c r="L52" s="138"/>
      <c r="M52" s="138"/>
      <c r="N52" s="138"/>
      <c r="O52" s="138"/>
      <c r="P52" s="138"/>
    </row>
    <row r="53" spans="1:16" ht="15">
      <c r="A53" s="232" t="s">
        <v>25</v>
      </c>
      <c r="B53" s="231">
        <f t="shared" si="0"/>
        <v>-0.0008</v>
      </c>
      <c r="C53" s="248"/>
      <c r="D53" s="249"/>
      <c r="E53" s="249"/>
      <c r="F53" s="249"/>
      <c r="G53" s="225"/>
      <c r="H53" s="159"/>
      <c r="I53" s="138"/>
      <c r="J53" s="138"/>
      <c r="K53" s="116"/>
      <c r="L53" s="138"/>
      <c r="M53" s="138"/>
      <c r="N53" s="138"/>
      <c r="O53" s="138"/>
      <c r="P53" s="138"/>
    </row>
    <row r="54" spans="1:16" ht="15">
      <c r="A54" s="232" t="s">
        <v>26</v>
      </c>
      <c r="B54" s="231">
        <f t="shared" si="0"/>
        <v>-0.0008</v>
      </c>
      <c r="C54" s="248"/>
      <c r="D54" s="249"/>
      <c r="E54" s="249"/>
      <c r="F54" s="249"/>
      <c r="G54" s="225"/>
      <c r="H54" s="159"/>
      <c r="I54" s="138"/>
      <c r="J54" s="138"/>
      <c r="K54" s="116"/>
      <c r="L54" s="138"/>
      <c r="M54" s="138"/>
      <c r="N54" s="138"/>
      <c r="O54" s="138"/>
      <c r="P54" s="138"/>
    </row>
    <row r="55" spans="1:16" ht="15">
      <c r="A55" s="232" t="s">
        <v>27</v>
      </c>
      <c r="B55" s="231">
        <f t="shared" si="0"/>
        <v>-0.0008</v>
      </c>
      <c r="C55" s="248"/>
      <c r="D55" s="249"/>
      <c r="E55" s="249"/>
      <c r="F55" s="249"/>
      <c r="G55" s="225"/>
      <c r="H55" s="159"/>
      <c r="I55" s="138"/>
      <c r="J55" s="138"/>
      <c r="K55" s="116"/>
      <c r="L55" s="138"/>
      <c r="M55" s="138"/>
      <c r="N55" s="138"/>
      <c r="O55" s="138"/>
      <c r="P55" s="138"/>
    </row>
    <row r="56" spans="1:16" ht="15">
      <c r="A56" s="232" t="s">
        <v>141</v>
      </c>
      <c r="B56" s="231">
        <f t="shared" si="0"/>
        <v>-0.0008</v>
      </c>
      <c r="C56" s="248"/>
      <c r="D56" s="249"/>
      <c r="E56" s="249"/>
      <c r="F56" s="249"/>
      <c r="G56" s="225"/>
      <c r="H56" s="159"/>
      <c r="I56" s="138"/>
      <c r="J56" s="138"/>
      <c r="K56" s="116"/>
      <c r="L56" s="138"/>
      <c r="M56" s="138"/>
      <c r="N56" s="138"/>
      <c r="O56" s="138"/>
      <c r="P56" s="138"/>
    </row>
    <row r="57" spans="1:16" ht="15">
      <c r="A57" s="250"/>
      <c r="B57" s="202"/>
      <c r="C57" s="248"/>
      <c r="D57" s="249"/>
      <c r="E57" s="249"/>
      <c r="F57" s="249"/>
      <c r="G57" s="225"/>
      <c r="H57" s="159"/>
      <c r="I57" s="138"/>
      <c r="J57" s="138"/>
      <c r="K57" s="116"/>
      <c r="L57" s="138"/>
      <c r="M57" s="138"/>
      <c r="N57" s="138"/>
      <c r="O57" s="138"/>
      <c r="P57" s="138"/>
    </row>
    <row r="58" spans="1:16" ht="15.75">
      <c r="A58" s="228" t="s">
        <v>28</v>
      </c>
      <c r="B58" s="232"/>
      <c r="C58" s="230"/>
      <c r="D58" s="231"/>
      <c r="E58" s="231"/>
      <c r="F58" s="231"/>
      <c r="G58" s="225"/>
      <c r="H58" s="159"/>
      <c r="I58" s="138"/>
      <c r="J58" s="138"/>
      <c r="K58" s="116"/>
      <c r="L58" s="138"/>
      <c r="M58" s="138"/>
      <c r="N58" s="138"/>
      <c r="O58" s="138"/>
      <c r="P58" s="138"/>
    </row>
    <row r="59" spans="1:16" ht="15">
      <c r="A59" s="232" t="s">
        <v>29</v>
      </c>
      <c r="B59" s="229">
        <v>0.194</v>
      </c>
      <c r="C59" s="230"/>
      <c r="D59" s="229"/>
      <c r="E59" s="231"/>
      <c r="F59" s="231"/>
      <c r="G59" s="225"/>
      <c r="H59" s="159"/>
      <c r="I59" s="138"/>
      <c r="J59" s="138"/>
      <c r="K59" s="117"/>
      <c r="L59" s="138"/>
      <c r="M59" s="138"/>
      <c r="N59" s="138"/>
      <c r="O59" s="138"/>
      <c r="P59" s="138"/>
    </row>
    <row r="60" spans="1:16" ht="15">
      <c r="A60" s="232" t="s">
        <v>30</v>
      </c>
      <c r="B60" s="229">
        <v>0.0282</v>
      </c>
      <c r="C60" s="230"/>
      <c r="D60" s="229"/>
      <c r="E60" s="231"/>
      <c r="F60" s="231"/>
      <c r="G60" s="225"/>
      <c r="H60" s="159"/>
      <c r="I60" s="138"/>
      <c r="J60" s="138"/>
      <c r="K60" s="117"/>
      <c r="L60" s="138"/>
      <c r="M60" s="138"/>
      <c r="N60" s="138"/>
      <c r="O60" s="138"/>
      <c r="P60" s="138"/>
    </row>
    <row r="61" spans="1:16" ht="15">
      <c r="A61" s="232" t="s">
        <v>31</v>
      </c>
      <c r="B61" s="229">
        <v>0.1969</v>
      </c>
      <c r="C61" s="230"/>
      <c r="D61" s="229"/>
      <c r="E61" s="231"/>
      <c r="F61" s="231"/>
      <c r="G61" s="225"/>
      <c r="H61" s="159"/>
      <c r="I61" s="138"/>
      <c r="J61" s="138"/>
      <c r="K61" s="117"/>
      <c r="L61" s="138"/>
      <c r="M61" s="138"/>
      <c r="N61" s="138"/>
      <c r="O61" s="138"/>
      <c r="P61" s="138"/>
    </row>
    <row r="62" spans="1:16" ht="15">
      <c r="A62" s="232" t="s">
        <v>32</v>
      </c>
      <c r="B62" s="229">
        <v>0.6948</v>
      </c>
      <c r="C62" s="230"/>
      <c r="D62" s="229"/>
      <c r="E62" s="231"/>
      <c r="F62" s="231"/>
      <c r="G62" s="225"/>
      <c r="H62" s="159"/>
      <c r="I62" s="138"/>
      <c r="J62" s="138"/>
      <c r="K62" s="117"/>
      <c r="L62" s="138"/>
      <c r="M62" s="138"/>
      <c r="N62" s="138"/>
      <c r="O62" s="138"/>
      <c r="P62" s="138"/>
    </row>
    <row r="63" spans="1:16" ht="15">
      <c r="A63" s="232"/>
      <c r="B63" s="231"/>
      <c r="C63" s="230"/>
      <c r="D63" s="231"/>
      <c r="E63" s="231"/>
      <c r="F63" s="231"/>
      <c r="G63" s="225"/>
      <c r="H63" s="159"/>
      <c r="I63" s="138"/>
      <c r="J63" s="138"/>
      <c r="K63" s="116"/>
      <c r="L63" s="138"/>
      <c r="M63" s="138"/>
      <c r="N63" s="138"/>
      <c r="O63" s="138"/>
      <c r="P63" s="138"/>
    </row>
    <row r="64" spans="1:16" ht="15.75">
      <c r="A64" s="228" t="s">
        <v>33</v>
      </c>
      <c r="B64" s="233">
        <v>0.027</v>
      </c>
      <c r="C64" s="230"/>
      <c r="D64" s="234"/>
      <c r="E64" s="231"/>
      <c r="F64" s="234"/>
      <c r="G64" s="225"/>
      <c r="H64" s="159"/>
      <c r="I64" s="138"/>
      <c r="J64" s="138"/>
      <c r="K64" s="117"/>
      <c r="L64" s="138"/>
      <c r="M64" s="138"/>
      <c r="N64" s="138"/>
      <c r="O64" s="138"/>
      <c r="P64" s="138"/>
    </row>
    <row r="65" spans="1:16" ht="15.75">
      <c r="A65" s="228"/>
      <c r="B65" s="234"/>
      <c r="C65" s="230"/>
      <c r="D65" s="234"/>
      <c r="E65" s="231"/>
      <c r="F65" s="231"/>
      <c r="G65" s="225"/>
      <c r="H65" s="159"/>
      <c r="I65" s="138"/>
      <c r="J65" s="138"/>
      <c r="K65" s="117"/>
      <c r="L65" s="138"/>
      <c r="M65" s="138"/>
      <c r="N65" s="138"/>
      <c r="O65" s="138"/>
      <c r="P65" s="138"/>
    </row>
    <row r="66" spans="1:16" ht="15.75">
      <c r="A66" s="228" t="s">
        <v>34</v>
      </c>
      <c r="B66" s="233">
        <v>0.12</v>
      </c>
      <c r="C66" s="230"/>
      <c r="D66" s="234"/>
      <c r="E66" s="231"/>
      <c r="F66" s="231"/>
      <c r="G66" s="225"/>
      <c r="H66" s="159"/>
      <c r="I66" s="138"/>
      <c r="J66" s="138"/>
      <c r="K66" s="117"/>
      <c r="L66" s="138"/>
      <c r="M66" s="138"/>
      <c r="N66" s="138"/>
      <c r="O66" s="138"/>
      <c r="P66" s="138"/>
    </row>
    <row r="67" spans="1:16" ht="15.75">
      <c r="A67" s="228"/>
      <c r="B67" s="232"/>
      <c r="C67" s="230"/>
      <c r="D67" s="231"/>
      <c r="E67" s="231"/>
      <c r="F67" s="231"/>
      <c r="G67" s="225"/>
      <c r="H67" s="159"/>
      <c r="I67" s="138"/>
      <c r="J67" s="138"/>
      <c r="K67" s="116"/>
      <c r="L67" s="138"/>
      <c r="M67" s="138"/>
      <c r="N67" s="138"/>
      <c r="O67" s="138"/>
      <c r="P67" s="138"/>
    </row>
    <row r="68" spans="1:16" ht="15.75">
      <c r="A68" s="227" t="s">
        <v>35</v>
      </c>
      <c r="B68" s="235">
        <f>ROUND(B72/211.08*Consumer_Price_Index,4)</f>
        <v>0</v>
      </c>
      <c r="C68" s="236"/>
      <c r="D68" s="235"/>
      <c r="E68" s="232"/>
      <c r="F68" s="235"/>
      <c r="G68" s="225"/>
      <c r="H68" s="159"/>
      <c r="I68" s="138"/>
      <c r="J68" s="138"/>
      <c r="K68" s="118"/>
      <c r="L68" s="138"/>
      <c r="M68" s="138"/>
      <c r="N68" s="138"/>
      <c r="O68" s="138"/>
      <c r="P68" s="138"/>
    </row>
    <row r="69" spans="1:16" ht="15.75">
      <c r="A69" s="227"/>
      <c r="B69" s="232"/>
      <c r="C69" s="230"/>
      <c r="D69" s="231"/>
      <c r="E69" s="231"/>
      <c r="F69" s="231"/>
      <c r="G69" s="225"/>
      <c r="H69" s="159"/>
      <c r="I69" s="138"/>
      <c r="J69" s="138"/>
      <c r="K69" s="119"/>
      <c r="L69" s="138"/>
      <c r="M69" s="138"/>
      <c r="N69" s="138"/>
      <c r="O69" s="138"/>
      <c r="P69" s="138"/>
    </row>
    <row r="70" spans="1:16" ht="15.75">
      <c r="A70" s="228" t="s">
        <v>36</v>
      </c>
      <c r="B70" s="233">
        <v>0.035</v>
      </c>
      <c r="C70" s="230"/>
      <c r="D70" s="234"/>
      <c r="E70" s="234"/>
      <c r="F70" s="231"/>
      <c r="G70" s="225"/>
      <c r="H70" s="159"/>
      <c r="I70" s="138"/>
      <c r="J70" s="138"/>
      <c r="K70" s="119"/>
      <c r="L70" s="138"/>
      <c r="M70" s="138"/>
      <c r="N70" s="138"/>
      <c r="O70" s="138"/>
      <c r="P70" s="138"/>
    </row>
    <row r="71" spans="1:16" ht="15">
      <c r="A71" s="237"/>
      <c r="B71" s="238"/>
      <c r="C71" s="239"/>
      <c r="D71" s="240"/>
      <c r="E71" s="240"/>
      <c r="F71" s="240"/>
      <c r="G71" s="226"/>
      <c r="H71" s="136"/>
      <c r="I71" s="138"/>
      <c r="J71" s="138"/>
      <c r="K71" s="119"/>
      <c r="L71" s="138"/>
      <c r="M71" s="138"/>
      <c r="N71" s="138"/>
      <c r="O71" s="138"/>
      <c r="P71" s="138"/>
    </row>
    <row r="72" spans="1:16" ht="15.75">
      <c r="A72" s="227" t="s">
        <v>35</v>
      </c>
      <c r="B72" s="235">
        <v>0.1269</v>
      </c>
      <c r="C72" s="236"/>
      <c r="D72" s="231"/>
      <c r="E72" s="232"/>
      <c r="F72" s="231"/>
      <c r="G72" s="226"/>
      <c r="H72" s="136"/>
      <c r="I72" s="138"/>
      <c r="J72" s="138"/>
      <c r="K72" s="119"/>
      <c r="L72" s="138"/>
      <c r="M72" s="138"/>
      <c r="N72" s="138"/>
      <c r="O72" s="138"/>
      <c r="P72" s="138"/>
    </row>
    <row r="73" spans="1:16" ht="15">
      <c r="A73" s="237"/>
      <c r="B73" s="238"/>
      <c r="C73" s="239"/>
      <c r="D73" s="240"/>
      <c r="E73" s="240"/>
      <c r="F73" s="240"/>
      <c r="G73" s="226"/>
      <c r="H73" s="136"/>
      <c r="I73" s="138"/>
      <c r="J73" s="138"/>
      <c r="K73" s="119"/>
      <c r="L73" s="138"/>
      <c r="M73" s="138"/>
      <c r="N73" s="138"/>
      <c r="O73" s="138"/>
      <c r="P73" s="138"/>
    </row>
    <row r="74" spans="1:16" ht="15">
      <c r="A74" s="237"/>
      <c r="B74" s="238"/>
      <c r="C74" s="239"/>
      <c r="D74" s="240"/>
      <c r="E74" s="240"/>
      <c r="F74" s="240"/>
      <c r="G74" s="226"/>
      <c r="H74" s="136"/>
      <c r="I74" s="138"/>
      <c r="J74" s="138"/>
      <c r="K74" s="119"/>
      <c r="L74" s="138"/>
      <c r="M74" s="138"/>
      <c r="N74" s="138"/>
      <c r="O74" s="138"/>
      <c r="P74" s="138"/>
    </row>
    <row r="75" spans="1:16" ht="15">
      <c r="A75" s="237"/>
      <c r="B75" s="238"/>
      <c r="C75" s="239"/>
      <c r="D75" s="240"/>
      <c r="E75" s="240"/>
      <c r="F75" s="240"/>
      <c r="G75" s="226"/>
      <c r="H75" s="136"/>
      <c r="I75" s="138"/>
      <c r="J75" s="138"/>
      <c r="K75" s="120"/>
      <c r="L75" s="138"/>
      <c r="M75" s="138"/>
      <c r="N75" s="138"/>
      <c r="O75" s="138"/>
      <c r="P75" s="138"/>
    </row>
    <row r="76" spans="1:16" ht="15">
      <c r="A76" s="237"/>
      <c r="B76" s="238"/>
      <c r="C76" s="239"/>
      <c r="D76" s="240"/>
      <c r="E76" s="240"/>
      <c r="F76" s="240"/>
      <c r="G76" s="226"/>
      <c r="H76" s="136"/>
      <c r="I76" s="138"/>
      <c r="J76" s="138"/>
      <c r="K76" s="120"/>
      <c r="L76" s="138"/>
      <c r="M76" s="138"/>
      <c r="N76" s="138"/>
      <c r="O76" s="138"/>
      <c r="P76" s="138"/>
    </row>
    <row r="77" spans="1:16" ht="15">
      <c r="A77" s="237"/>
      <c r="B77" s="238"/>
      <c r="C77" s="239"/>
      <c r="D77" s="240"/>
      <c r="E77" s="240"/>
      <c r="F77" s="240"/>
      <c r="G77" s="226"/>
      <c r="H77" s="136"/>
      <c r="I77" s="138"/>
      <c r="J77" s="138"/>
      <c r="K77" s="120"/>
      <c r="L77" s="138"/>
      <c r="M77" s="138"/>
      <c r="N77" s="138"/>
      <c r="O77" s="138"/>
      <c r="P77" s="138"/>
    </row>
    <row r="78" spans="1:16" ht="15">
      <c r="A78" s="237"/>
      <c r="B78" s="238"/>
      <c r="C78" s="239"/>
      <c r="D78" s="240"/>
      <c r="E78" s="240"/>
      <c r="F78" s="240"/>
      <c r="G78" s="226"/>
      <c r="H78" s="136"/>
      <c r="I78" s="138"/>
      <c r="J78" s="138"/>
      <c r="K78" s="120"/>
      <c r="L78" s="138"/>
      <c r="M78" s="138"/>
      <c r="N78" s="138"/>
      <c r="O78" s="138"/>
      <c r="P78" s="138"/>
    </row>
    <row r="79" spans="1:16" ht="15">
      <c r="A79" s="237"/>
      <c r="B79" s="238"/>
      <c r="C79" s="239"/>
      <c r="D79" s="240"/>
      <c r="E79" s="240"/>
      <c r="F79" s="240"/>
      <c r="G79" s="226"/>
      <c r="H79" s="136"/>
      <c r="I79" s="138"/>
      <c r="J79" s="138"/>
      <c r="K79" s="120"/>
      <c r="L79" s="138"/>
      <c r="M79" s="138"/>
      <c r="N79" s="138"/>
      <c r="O79" s="138"/>
      <c r="P79" s="138"/>
    </row>
    <row r="80" spans="1:16" ht="15">
      <c r="A80" s="237"/>
      <c r="B80" s="238"/>
      <c r="C80" s="239"/>
      <c r="D80" s="240"/>
      <c r="E80" s="240"/>
      <c r="F80" s="240"/>
      <c r="G80" s="134"/>
      <c r="H80" s="136"/>
      <c r="I80" s="138"/>
      <c r="J80" s="138"/>
      <c r="K80" s="120"/>
      <c r="L80" s="138"/>
      <c r="M80" s="138"/>
      <c r="N80" s="138"/>
      <c r="O80" s="138"/>
      <c r="P80" s="138"/>
    </row>
    <row r="81" spans="1:16" ht="15">
      <c r="A81" s="132"/>
      <c r="B81" s="133"/>
      <c r="C81" s="134"/>
      <c r="D81" s="135"/>
      <c r="E81" s="135"/>
      <c r="F81" s="135"/>
      <c r="G81" s="134"/>
      <c r="H81" s="136"/>
      <c r="I81" s="138"/>
      <c r="J81" s="138"/>
      <c r="K81" s="120"/>
      <c r="L81" s="138"/>
      <c r="M81" s="138"/>
      <c r="N81" s="138"/>
      <c r="O81" s="138"/>
      <c r="P81" s="138"/>
    </row>
    <row r="82" spans="1:16" ht="15">
      <c r="A82" s="132"/>
      <c r="B82" s="133"/>
      <c r="C82" s="134"/>
      <c r="D82" s="135"/>
      <c r="E82" s="135"/>
      <c r="F82" s="135"/>
      <c r="G82" s="134"/>
      <c r="H82" s="136"/>
      <c r="I82" s="138"/>
      <c r="J82" s="138"/>
      <c r="K82" s="138"/>
      <c r="L82" s="138"/>
      <c r="M82" s="138"/>
      <c r="N82" s="138"/>
      <c r="O82" s="138"/>
      <c r="P82" s="138"/>
    </row>
    <row r="83" spans="1:16" ht="15">
      <c r="A83" s="110"/>
      <c r="B83" s="116"/>
      <c r="C83" s="136"/>
      <c r="D83" s="137"/>
      <c r="E83" s="137"/>
      <c r="F83" s="137"/>
      <c r="G83" s="136"/>
      <c r="H83" s="136"/>
      <c r="I83" s="138"/>
      <c r="J83" s="138"/>
      <c r="K83" s="138"/>
      <c r="L83" s="138"/>
      <c r="M83" s="138"/>
      <c r="N83" s="138"/>
      <c r="O83" s="138"/>
      <c r="P83" s="138"/>
    </row>
    <row r="84" spans="1:16" ht="15">
      <c r="A84" s="110"/>
      <c r="B84" s="116"/>
      <c r="C84" s="136"/>
      <c r="D84" s="137"/>
      <c r="E84" s="137"/>
      <c r="F84" s="137"/>
      <c r="G84" s="136"/>
      <c r="H84" s="136"/>
      <c r="I84" s="138"/>
      <c r="J84" s="138"/>
      <c r="K84" s="138"/>
      <c r="L84" s="138"/>
      <c r="M84" s="138"/>
      <c r="N84" s="138"/>
      <c r="O84" s="138"/>
      <c r="P84" s="138"/>
    </row>
    <row r="85" spans="1:16" ht="15">
      <c r="A85" s="110"/>
      <c r="B85" s="116"/>
      <c r="C85" s="136"/>
      <c r="D85" s="137"/>
      <c r="E85" s="137"/>
      <c r="F85" s="137"/>
      <c r="G85" s="136"/>
      <c r="H85" s="136"/>
      <c r="I85" s="138"/>
      <c r="J85" s="138"/>
      <c r="K85" s="138"/>
      <c r="L85" s="138"/>
      <c r="M85" s="138"/>
      <c r="N85" s="138"/>
      <c r="O85" s="138"/>
      <c r="P85" s="138"/>
    </row>
    <row r="86" spans="1:16" ht="15">
      <c r="A86" s="110"/>
      <c r="B86" s="116"/>
      <c r="C86" s="136"/>
      <c r="D86" s="137"/>
      <c r="E86" s="137"/>
      <c r="F86" s="137"/>
      <c r="G86" s="136"/>
      <c r="H86" s="136"/>
      <c r="I86" s="138"/>
      <c r="J86" s="138"/>
      <c r="K86" s="138"/>
      <c r="L86" s="138"/>
      <c r="M86" s="138"/>
      <c r="N86" s="138"/>
      <c r="O86" s="138"/>
      <c r="P86" s="138"/>
    </row>
    <row r="87" spans="1:16" ht="15">
      <c r="A87" s="110"/>
      <c r="B87" s="116"/>
      <c r="C87" s="136"/>
      <c r="D87" s="137"/>
      <c r="E87" s="137"/>
      <c r="F87" s="137"/>
      <c r="G87" s="136"/>
      <c r="H87" s="136"/>
      <c r="I87" s="138"/>
      <c r="J87" s="138"/>
      <c r="K87" s="138"/>
      <c r="L87" s="138"/>
      <c r="M87" s="138"/>
      <c r="N87" s="138"/>
      <c r="O87" s="138"/>
      <c r="P87" s="138"/>
    </row>
    <row r="88" spans="1:16" ht="15">
      <c r="A88" s="110"/>
      <c r="B88" s="116"/>
      <c r="C88" s="136"/>
      <c r="D88" s="137"/>
      <c r="E88" s="137"/>
      <c r="F88" s="137"/>
      <c r="G88" s="136"/>
      <c r="H88" s="136"/>
      <c r="I88" s="138"/>
      <c r="J88" s="138"/>
      <c r="K88" s="138"/>
      <c r="L88" s="138"/>
      <c r="M88" s="138"/>
      <c r="N88" s="138"/>
      <c r="O88" s="138"/>
      <c r="P88" s="138"/>
    </row>
    <row r="89" spans="1:16" ht="15">
      <c r="A89" s="110"/>
      <c r="B89" s="116"/>
      <c r="C89" s="136"/>
      <c r="D89" s="137"/>
      <c r="E89" s="137"/>
      <c r="F89" s="137"/>
      <c r="G89" s="136"/>
      <c r="H89" s="136"/>
      <c r="I89" s="138"/>
      <c r="J89" s="138"/>
      <c r="K89" s="138"/>
      <c r="L89" s="138"/>
      <c r="M89" s="138"/>
      <c r="N89" s="138"/>
      <c r="O89" s="138"/>
      <c r="P89" s="138"/>
    </row>
    <row r="90" spans="1:16" ht="15">
      <c r="A90" s="110"/>
      <c r="B90" s="136"/>
      <c r="C90" s="136"/>
      <c r="D90" s="137"/>
      <c r="E90" s="137"/>
      <c r="F90" s="137"/>
      <c r="G90" s="136"/>
      <c r="H90" s="136"/>
      <c r="I90" s="138"/>
      <c r="J90" s="138"/>
      <c r="K90" s="138"/>
      <c r="L90" s="138"/>
      <c r="M90" s="138"/>
      <c r="N90" s="138"/>
      <c r="O90" s="138"/>
      <c r="P90" s="138"/>
    </row>
    <row r="91" spans="1:16" ht="15">
      <c r="A91" s="110"/>
      <c r="B91" s="136"/>
      <c r="C91" s="136"/>
      <c r="D91" s="137"/>
      <c r="E91" s="137"/>
      <c r="F91" s="137"/>
      <c r="G91" s="136"/>
      <c r="H91" s="136"/>
      <c r="I91" s="138"/>
      <c r="J91" s="138"/>
      <c r="K91" s="138"/>
      <c r="L91" s="138"/>
      <c r="M91" s="138"/>
      <c r="N91" s="138"/>
      <c r="O91" s="138"/>
      <c r="P91" s="138"/>
    </row>
    <row r="92" spans="1:16" ht="15">
      <c r="A92" s="110"/>
      <c r="B92" s="136"/>
      <c r="C92" s="136"/>
      <c r="D92" s="137"/>
      <c r="E92" s="137"/>
      <c r="F92" s="137"/>
      <c r="G92" s="136"/>
      <c r="H92" s="136"/>
      <c r="I92" s="138"/>
      <c r="J92" s="138"/>
      <c r="K92" s="138"/>
      <c r="L92" s="138"/>
      <c r="M92" s="138"/>
      <c r="N92" s="138"/>
      <c r="O92" s="138"/>
      <c r="P92" s="138"/>
    </row>
    <row r="93" spans="1:16" ht="15">
      <c r="A93" s="110"/>
      <c r="B93" s="136"/>
      <c r="C93" s="136"/>
      <c r="D93" s="137"/>
      <c r="E93" s="137"/>
      <c r="F93" s="137"/>
      <c r="G93" s="136"/>
      <c r="H93" s="136"/>
      <c r="I93" s="138"/>
      <c r="J93" s="138"/>
      <c r="K93" s="138"/>
      <c r="L93" s="138"/>
      <c r="M93" s="138"/>
      <c r="N93" s="138"/>
      <c r="O93" s="138"/>
      <c r="P93" s="138"/>
    </row>
    <row r="94" spans="1:16" ht="15">
      <c r="A94" s="110"/>
      <c r="B94" s="136"/>
      <c r="C94" s="136"/>
      <c r="D94" s="137"/>
      <c r="E94" s="137"/>
      <c r="F94" s="137"/>
      <c r="G94" s="136"/>
      <c r="H94" s="136"/>
      <c r="I94" s="138"/>
      <c r="J94" s="138"/>
      <c r="K94" s="138"/>
      <c r="L94" s="138"/>
      <c r="M94" s="138"/>
      <c r="N94" s="138"/>
      <c r="O94" s="138"/>
      <c r="P94" s="138"/>
    </row>
    <row r="95" spans="1:16" ht="15">
      <c r="A95" s="110"/>
      <c r="B95" s="136"/>
      <c r="C95" s="136"/>
      <c r="D95" s="137"/>
      <c r="E95" s="137"/>
      <c r="F95" s="137"/>
      <c r="G95" s="136"/>
      <c r="H95" s="136"/>
      <c r="I95" s="138"/>
      <c r="J95" s="138"/>
      <c r="K95" s="138"/>
      <c r="L95" s="138"/>
      <c r="M95" s="138"/>
      <c r="N95" s="138"/>
      <c r="O95" s="138"/>
      <c r="P95" s="138"/>
    </row>
    <row r="96" spans="1:16" ht="15">
      <c r="A96" s="110"/>
      <c r="B96" s="136"/>
      <c r="C96" s="136"/>
      <c r="D96" s="137"/>
      <c r="E96" s="137"/>
      <c r="F96" s="137"/>
      <c r="G96" s="136"/>
      <c r="H96" s="136"/>
      <c r="I96" s="138"/>
      <c r="J96" s="138"/>
      <c r="K96" s="138"/>
      <c r="L96" s="138"/>
      <c r="M96" s="138"/>
      <c r="N96" s="138"/>
      <c r="O96" s="138"/>
      <c r="P96" s="138"/>
    </row>
    <row r="97" spans="1:16" ht="15">
      <c r="A97" s="110"/>
      <c r="B97" s="136"/>
      <c r="C97" s="136"/>
      <c r="D97" s="137"/>
      <c r="E97" s="137"/>
      <c r="F97" s="137"/>
      <c r="G97" s="136"/>
      <c r="H97" s="136"/>
      <c r="I97" s="138"/>
      <c r="J97" s="138"/>
      <c r="K97" s="138"/>
      <c r="L97" s="138"/>
      <c r="M97" s="138"/>
      <c r="N97" s="138"/>
      <c r="O97" s="138"/>
      <c r="P97" s="138"/>
    </row>
    <row r="98" spans="1:16" ht="15">
      <c r="A98" s="110"/>
      <c r="B98" s="136"/>
      <c r="C98" s="136"/>
      <c r="D98" s="137"/>
      <c r="E98" s="137"/>
      <c r="F98" s="137"/>
      <c r="G98" s="136"/>
      <c r="H98" s="136"/>
      <c r="I98" s="138"/>
      <c r="J98" s="138"/>
      <c r="K98" s="138"/>
      <c r="L98" s="138"/>
      <c r="M98" s="138"/>
      <c r="N98" s="138"/>
      <c r="O98" s="138"/>
      <c r="P98" s="138"/>
    </row>
    <row r="99" spans="1:16" ht="15">
      <c r="A99" s="110"/>
      <c r="B99" s="136"/>
      <c r="C99" s="136"/>
      <c r="D99" s="137"/>
      <c r="E99" s="137"/>
      <c r="F99" s="137"/>
      <c r="G99" s="136"/>
      <c r="H99" s="136"/>
      <c r="I99" s="138"/>
      <c r="J99" s="138"/>
      <c r="K99" s="138"/>
      <c r="L99" s="138"/>
      <c r="M99" s="138"/>
      <c r="N99" s="138"/>
      <c r="O99" s="138"/>
      <c r="P99" s="138"/>
    </row>
    <row r="100" spans="1:16" ht="15">
      <c r="A100" s="110"/>
      <c r="B100" s="136"/>
      <c r="C100" s="136"/>
      <c r="D100" s="137"/>
      <c r="E100" s="137"/>
      <c r="F100" s="137"/>
      <c r="G100" s="136"/>
      <c r="H100" s="136"/>
      <c r="I100" s="138"/>
      <c r="J100" s="138"/>
      <c r="K100" s="138"/>
      <c r="L100" s="138"/>
      <c r="M100" s="138"/>
      <c r="N100" s="138"/>
      <c r="O100" s="138"/>
      <c r="P100" s="138"/>
    </row>
    <row r="101" spans="1:16" ht="15">
      <c r="A101" s="110"/>
      <c r="B101" s="136"/>
      <c r="C101" s="136"/>
      <c r="D101" s="137"/>
      <c r="E101" s="137"/>
      <c r="F101" s="137"/>
      <c r="G101" s="136"/>
      <c r="H101" s="136"/>
      <c r="I101" s="138"/>
      <c r="J101" s="138"/>
      <c r="K101" s="138"/>
      <c r="L101" s="138"/>
      <c r="M101" s="138"/>
      <c r="N101" s="138"/>
      <c r="O101" s="138"/>
      <c r="P101" s="138"/>
    </row>
    <row r="102" spans="1:16" ht="15">
      <c r="A102" s="110"/>
      <c r="B102" s="136"/>
      <c r="C102" s="136"/>
      <c r="D102" s="137"/>
      <c r="E102" s="137"/>
      <c r="F102" s="137"/>
      <c r="G102" s="136"/>
      <c r="H102" s="136"/>
      <c r="I102" s="138"/>
      <c r="J102" s="138"/>
      <c r="K102" s="138"/>
      <c r="L102" s="138"/>
      <c r="M102" s="138"/>
      <c r="N102" s="138"/>
      <c r="O102" s="138"/>
      <c r="P102" s="138"/>
    </row>
    <row r="103" spans="1:16" ht="15">
      <c r="A103" s="110"/>
      <c r="B103" s="136"/>
      <c r="C103" s="136"/>
      <c r="D103" s="137"/>
      <c r="E103" s="137"/>
      <c r="F103" s="137"/>
      <c r="G103" s="136"/>
      <c r="H103" s="136"/>
      <c r="I103" s="138"/>
      <c r="J103" s="138"/>
      <c r="K103" s="138"/>
      <c r="L103" s="138"/>
      <c r="M103" s="138"/>
      <c r="N103" s="138"/>
      <c r="O103" s="138"/>
      <c r="P103" s="138"/>
    </row>
    <row r="104" spans="1:16" ht="15">
      <c r="A104" s="110"/>
      <c r="B104" s="136"/>
      <c r="C104" s="136"/>
      <c r="D104" s="137"/>
      <c r="E104" s="137"/>
      <c r="F104" s="137"/>
      <c r="G104" s="136"/>
      <c r="H104" s="136"/>
      <c r="I104" s="138"/>
      <c r="J104" s="138"/>
      <c r="K104" s="138"/>
      <c r="L104" s="138"/>
      <c r="M104" s="138"/>
      <c r="N104" s="138"/>
      <c r="O104" s="138"/>
      <c r="P104" s="138"/>
    </row>
    <row r="105" spans="1:16" ht="15">
      <c r="A105" s="110"/>
      <c r="B105" s="136"/>
      <c r="C105" s="136"/>
      <c r="D105" s="137"/>
      <c r="E105" s="137"/>
      <c r="F105" s="137"/>
      <c r="G105" s="136"/>
      <c r="H105" s="136"/>
      <c r="I105" s="138"/>
      <c r="J105" s="138"/>
      <c r="K105" s="138"/>
      <c r="L105" s="138"/>
      <c r="M105" s="138"/>
      <c r="N105" s="138"/>
      <c r="O105" s="138"/>
      <c r="P105" s="138"/>
    </row>
    <row r="106" spans="1:16" ht="15">
      <c r="A106" s="110"/>
      <c r="B106" s="136"/>
      <c r="C106" s="136"/>
      <c r="D106" s="137"/>
      <c r="E106" s="137"/>
      <c r="F106" s="137"/>
      <c r="G106" s="136"/>
      <c r="H106" s="136"/>
      <c r="I106" s="138"/>
      <c r="J106" s="138"/>
      <c r="K106" s="138"/>
      <c r="L106" s="138"/>
      <c r="M106" s="138"/>
      <c r="N106" s="138"/>
      <c r="O106" s="138"/>
      <c r="P106" s="138"/>
    </row>
    <row r="107" spans="1:16" ht="15">
      <c r="A107" s="110"/>
      <c r="B107" s="136"/>
      <c r="C107" s="136"/>
      <c r="D107" s="137"/>
      <c r="E107" s="137"/>
      <c r="F107" s="137"/>
      <c r="G107" s="136"/>
      <c r="H107" s="136"/>
      <c r="I107" s="138"/>
      <c r="J107" s="138"/>
      <c r="K107" s="138"/>
      <c r="L107" s="138"/>
      <c r="M107" s="138"/>
      <c r="N107" s="138"/>
      <c r="O107" s="138"/>
      <c r="P107" s="138"/>
    </row>
    <row r="108" spans="1:16" ht="15">
      <c r="A108" s="110"/>
      <c r="B108" s="136"/>
      <c r="C108" s="136"/>
      <c r="D108" s="137"/>
      <c r="E108" s="137"/>
      <c r="F108" s="137"/>
      <c r="G108" s="136"/>
      <c r="H108" s="136"/>
      <c r="I108" s="138"/>
      <c r="J108" s="138"/>
      <c r="K108" s="138"/>
      <c r="L108" s="138"/>
      <c r="M108" s="138"/>
      <c r="N108" s="138"/>
      <c r="O108" s="138"/>
      <c r="P108" s="138"/>
    </row>
    <row r="109" spans="1:16" ht="15">
      <c r="A109" s="110"/>
      <c r="B109" s="136"/>
      <c r="C109" s="136"/>
      <c r="D109" s="137"/>
      <c r="E109" s="137"/>
      <c r="F109" s="137"/>
      <c r="G109" s="136"/>
      <c r="H109" s="136"/>
      <c r="I109" s="138"/>
      <c r="J109" s="138"/>
      <c r="K109" s="138"/>
      <c r="L109" s="138"/>
      <c r="M109" s="138"/>
      <c r="N109" s="138"/>
      <c r="O109" s="138"/>
      <c r="P109" s="138"/>
    </row>
    <row r="110" spans="1:16" ht="15">
      <c r="A110" s="110"/>
      <c r="B110" s="136"/>
      <c r="C110" s="136"/>
      <c r="D110" s="137"/>
      <c r="E110" s="137"/>
      <c r="F110" s="137"/>
      <c r="G110" s="136"/>
      <c r="H110" s="136"/>
      <c r="I110" s="138"/>
      <c r="J110" s="138"/>
      <c r="K110" s="138"/>
      <c r="L110" s="138"/>
      <c r="M110" s="138"/>
      <c r="N110" s="138"/>
      <c r="O110" s="138"/>
      <c r="P110" s="138"/>
    </row>
    <row r="111" spans="1:16" ht="15">
      <c r="A111" s="110"/>
      <c r="B111" s="136"/>
      <c r="C111" s="136"/>
      <c r="D111" s="137"/>
      <c r="E111" s="137"/>
      <c r="F111" s="137"/>
      <c r="G111" s="136"/>
      <c r="H111" s="136"/>
      <c r="I111" s="138"/>
      <c r="J111" s="138"/>
      <c r="K111" s="138"/>
      <c r="L111" s="138"/>
      <c r="M111" s="138"/>
      <c r="N111" s="138"/>
      <c r="O111" s="138"/>
      <c r="P111" s="138"/>
    </row>
    <row r="112" spans="1:16" ht="15">
      <c r="A112" s="110"/>
      <c r="B112" s="136"/>
      <c r="C112" s="136"/>
      <c r="D112" s="137"/>
      <c r="E112" s="137"/>
      <c r="F112" s="137"/>
      <c r="G112" s="136"/>
      <c r="H112" s="136"/>
      <c r="I112" s="138"/>
      <c r="J112" s="138"/>
      <c r="K112" s="138"/>
      <c r="L112" s="138"/>
      <c r="M112" s="138"/>
      <c r="N112" s="138"/>
      <c r="O112" s="138"/>
      <c r="P112" s="138"/>
    </row>
    <row r="113" spans="1:16" ht="15">
      <c r="A113" s="110"/>
      <c r="B113" s="136"/>
      <c r="C113" s="136"/>
      <c r="D113" s="137"/>
      <c r="E113" s="137"/>
      <c r="F113" s="137"/>
      <c r="G113" s="136"/>
      <c r="H113" s="136"/>
      <c r="I113" s="138"/>
      <c r="J113" s="138"/>
      <c r="K113" s="138"/>
      <c r="L113" s="138"/>
      <c r="M113" s="138"/>
      <c r="N113" s="138"/>
      <c r="O113" s="138"/>
      <c r="P113" s="138"/>
    </row>
    <row r="114" spans="1:16" ht="15">
      <c r="A114" s="110"/>
      <c r="B114" s="136"/>
      <c r="C114" s="136"/>
      <c r="D114" s="137"/>
      <c r="E114" s="137"/>
      <c r="F114" s="137"/>
      <c r="G114" s="136"/>
      <c r="H114" s="136"/>
      <c r="I114" s="138"/>
      <c r="J114" s="138"/>
      <c r="K114" s="138"/>
      <c r="L114" s="138"/>
      <c r="M114" s="138"/>
      <c r="N114" s="138"/>
      <c r="O114" s="138"/>
      <c r="P114" s="138"/>
    </row>
    <row r="115" spans="1:16" ht="15">
      <c r="A115" s="110"/>
      <c r="B115" s="136"/>
      <c r="C115" s="136"/>
      <c r="D115" s="137"/>
      <c r="E115" s="137"/>
      <c r="F115" s="137"/>
      <c r="G115" s="136"/>
      <c r="H115" s="136"/>
      <c r="I115" s="138"/>
      <c r="J115" s="138"/>
      <c r="K115" s="138"/>
      <c r="L115" s="138"/>
      <c r="M115" s="138"/>
      <c r="N115" s="138"/>
      <c r="O115" s="138"/>
      <c r="P115" s="138"/>
    </row>
    <row r="116" spans="1:16" ht="15">
      <c r="A116" s="110"/>
      <c r="B116" s="136"/>
      <c r="C116" s="136"/>
      <c r="D116" s="116"/>
      <c r="E116" s="116"/>
      <c r="F116" s="116"/>
      <c r="G116" s="136"/>
      <c r="H116" s="136"/>
      <c r="I116" s="138"/>
      <c r="J116" s="138"/>
      <c r="K116" s="138"/>
      <c r="L116" s="138"/>
      <c r="M116" s="138"/>
      <c r="N116" s="138"/>
      <c r="O116" s="138"/>
      <c r="P116" s="138"/>
    </row>
    <row r="117" spans="1:16" ht="15">
      <c r="A117" s="110"/>
      <c r="B117" s="136"/>
      <c r="C117" s="136"/>
      <c r="D117" s="116"/>
      <c r="E117" s="116"/>
      <c r="F117" s="116"/>
      <c r="G117" s="136"/>
      <c r="H117" s="136"/>
      <c r="I117" s="138"/>
      <c r="J117" s="138"/>
      <c r="K117" s="138"/>
      <c r="L117" s="138"/>
      <c r="M117" s="138"/>
      <c r="N117" s="138"/>
      <c r="O117" s="138"/>
      <c r="P117" s="138"/>
    </row>
    <row r="118" spans="1:16" ht="12.75">
      <c r="A118" s="110"/>
      <c r="B118" s="136"/>
      <c r="C118" s="136"/>
      <c r="D118" s="136"/>
      <c r="E118" s="136"/>
      <c r="F118" s="136"/>
      <c r="G118" s="136"/>
      <c r="H118" s="136"/>
      <c r="I118" s="138"/>
      <c r="J118" s="138"/>
      <c r="K118" s="138"/>
      <c r="L118" s="138"/>
      <c r="M118" s="138"/>
      <c r="N118" s="138"/>
      <c r="O118" s="138"/>
      <c r="P118" s="138"/>
    </row>
    <row r="119" spans="1:16" ht="12.75">
      <c r="A119" s="110"/>
      <c r="B119" s="136"/>
      <c r="C119" s="136"/>
      <c r="D119" s="136"/>
      <c r="E119" s="136"/>
      <c r="F119" s="136"/>
      <c r="G119" s="136"/>
      <c r="H119" s="136"/>
      <c r="I119" s="138"/>
      <c r="J119" s="138"/>
      <c r="K119" s="138"/>
      <c r="L119" s="138"/>
      <c r="M119" s="138"/>
      <c r="N119" s="138"/>
      <c r="O119" s="138"/>
      <c r="P119" s="138"/>
    </row>
    <row r="120" spans="1:16" ht="12.75">
      <c r="A120" s="110"/>
      <c r="B120" s="136"/>
      <c r="C120" s="136"/>
      <c r="D120" s="136"/>
      <c r="E120" s="136"/>
      <c r="F120" s="136"/>
      <c r="G120" s="136"/>
      <c r="H120" s="136"/>
      <c r="I120" s="138"/>
      <c r="J120" s="138"/>
      <c r="K120" s="138"/>
      <c r="L120" s="138"/>
      <c r="M120" s="138"/>
      <c r="N120" s="138"/>
      <c r="O120" s="138"/>
      <c r="P120" s="138"/>
    </row>
    <row r="121" spans="1:16" ht="12.75">
      <c r="A121" s="110"/>
      <c r="B121" s="136"/>
      <c r="C121" s="136"/>
      <c r="D121" s="136"/>
      <c r="E121" s="136"/>
      <c r="F121" s="136"/>
      <c r="G121" s="136"/>
      <c r="H121" s="136"/>
      <c r="I121" s="138"/>
      <c r="J121" s="138"/>
      <c r="K121" s="138"/>
      <c r="L121" s="138"/>
      <c r="M121" s="138"/>
      <c r="N121" s="138"/>
      <c r="O121" s="138"/>
      <c r="P121" s="138"/>
    </row>
    <row r="122" spans="1:16" ht="12.75">
      <c r="A122" s="110"/>
      <c r="B122" s="136"/>
      <c r="C122" s="136"/>
      <c r="D122" s="136"/>
      <c r="E122" s="136"/>
      <c r="F122" s="136"/>
      <c r="G122" s="136"/>
      <c r="H122" s="136"/>
      <c r="I122" s="138"/>
      <c r="J122" s="138"/>
      <c r="K122" s="138"/>
      <c r="L122" s="138"/>
      <c r="M122" s="138"/>
      <c r="N122" s="138"/>
      <c r="O122" s="138"/>
      <c r="P122" s="138"/>
    </row>
    <row r="123" spans="1:16" ht="12.75">
      <c r="A123" s="110"/>
      <c r="B123" s="136"/>
      <c r="C123" s="136"/>
      <c r="D123" s="136"/>
      <c r="E123" s="136"/>
      <c r="F123" s="136"/>
      <c r="G123" s="136"/>
      <c r="H123" s="136"/>
      <c r="I123" s="138"/>
      <c r="J123" s="138"/>
      <c r="K123" s="138"/>
      <c r="L123" s="138"/>
      <c r="M123" s="138"/>
      <c r="N123" s="138"/>
      <c r="O123" s="138"/>
      <c r="P123" s="138"/>
    </row>
    <row r="124" spans="1:16" ht="12.75">
      <c r="A124" s="110"/>
      <c r="B124" s="136"/>
      <c r="C124" s="136"/>
      <c r="D124" s="136"/>
      <c r="E124" s="136"/>
      <c r="F124" s="136"/>
      <c r="G124" s="136"/>
      <c r="H124" s="136"/>
      <c r="I124" s="138"/>
      <c r="J124" s="138"/>
      <c r="K124" s="138"/>
      <c r="L124" s="138"/>
      <c r="M124" s="138"/>
      <c r="N124" s="138"/>
      <c r="O124" s="138"/>
      <c r="P124" s="138"/>
    </row>
    <row r="125" spans="1:16" ht="12.75">
      <c r="A125" s="110"/>
      <c r="B125" s="136"/>
      <c r="C125" s="136"/>
      <c r="D125" s="136"/>
      <c r="E125" s="136"/>
      <c r="F125" s="136"/>
      <c r="G125" s="136"/>
      <c r="H125" s="136"/>
      <c r="I125" s="138"/>
      <c r="J125" s="138"/>
      <c r="K125" s="138"/>
      <c r="L125" s="138"/>
      <c r="M125" s="138"/>
      <c r="N125" s="138"/>
      <c r="O125" s="138"/>
      <c r="P125" s="138"/>
    </row>
    <row r="126" spans="1:16" ht="12.75">
      <c r="A126" s="110"/>
      <c r="B126" s="136"/>
      <c r="C126" s="136"/>
      <c r="D126" s="136"/>
      <c r="E126" s="136"/>
      <c r="F126" s="136"/>
      <c r="G126" s="136"/>
      <c r="H126" s="136"/>
      <c r="I126" s="138"/>
      <c r="J126" s="138"/>
      <c r="K126" s="138"/>
      <c r="L126" s="138"/>
      <c r="M126" s="138"/>
      <c r="N126" s="138"/>
      <c r="O126" s="138"/>
      <c r="P126" s="138"/>
    </row>
    <row r="127" spans="1:16" ht="12.75">
      <c r="A127" s="110"/>
      <c r="B127" s="136"/>
      <c r="C127" s="136"/>
      <c r="D127" s="136"/>
      <c r="E127" s="136"/>
      <c r="F127" s="136"/>
      <c r="G127" s="136"/>
      <c r="H127" s="136"/>
      <c r="I127" s="138"/>
      <c r="J127" s="138"/>
      <c r="K127" s="138"/>
      <c r="L127" s="138"/>
      <c r="M127" s="138"/>
      <c r="N127" s="138"/>
      <c r="O127" s="138"/>
      <c r="P127" s="138"/>
    </row>
    <row r="128" spans="1:16" ht="12.75">
      <c r="A128" s="110"/>
      <c r="B128" s="136"/>
      <c r="C128" s="136"/>
      <c r="D128" s="136"/>
      <c r="E128" s="136"/>
      <c r="F128" s="136"/>
      <c r="G128" s="136"/>
      <c r="H128" s="136"/>
      <c r="I128" s="138"/>
      <c r="J128" s="138"/>
      <c r="K128" s="138"/>
      <c r="L128" s="138"/>
      <c r="M128" s="138"/>
      <c r="N128" s="138"/>
      <c r="O128" s="138"/>
      <c r="P128" s="138"/>
    </row>
    <row r="129" spans="1:16" ht="12.75">
      <c r="A129" s="110"/>
      <c r="B129" s="136"/>
      <c r="C129" s="136"/>
      <c r="D129" s="136"/>
      <c r="E129" s="136"/>
      <c r="F129" s="136"/>
      <c r="G129" s="136"/>
      <c r="H129" s="136"/>
      <c r="I129" s="138"/>
      <c r="J129" s="138"/>
      <c r="K129" s="138"/>
      <c r="L129" s="138"/>
      <c r="M129" s="138"/>
      <c r="N129" s="138"/>
      <c r="O129" s="138"/>
      <c r="P129" s="138"/>
    </row>
    <row r="130" spans="1:16" ht="12.75">
      <c r="A130" s="110"/>
      <c r="B130" s="136"/>
      <c r="C130" s="136"/>
      <c r="D130" s="136"/>
      <c r="E130" s="136"/>
      <c r="F130" s="136"/>
      <c r="G130" s="136"/>
      <c r="H130" s="136"/>
      <c r="I130" s="138"/>
      <c r="J130" s="138"/>
      <c r="K130" s="138"/>
      <c r="L130" s="138"/>
      <c r="M130" s="138"/>
      <c r="N130" s="138"/>
      <c r="O130" s="138"/>
      <c r="P130" s="138"/>
    </row>
    <row r="131" spans="1:16" ht="12.75">
      <c r="A131" s="110"/>
      <c r="B131" s="136"/>
      <c r="C131" s="136"/>
      <c r="D131" s="136"/>
      <c r="E131" s="136"/>
      <c r="F131" s="136"/>
      <c r="G131" s="136"/>
      <c r="H131" s="136"/>
      <c r="I131" s="138"/>
      <c r="J131" s="138"/>
      <c r="K131" s="138"/>
      <c r="L131" s="138"/>
      <c r="M131" s="138"/>
      <c r="N131" s="138"/>
      <c r="O131" s="138"/>
      <c r="P131" s="138"/>
    </row>
    <row r="132" spans="1:16" ht="12.75">
      <c r="A132" s="110"/>
      <c r="B132" s="136"/>
      <c r="C132" s="136"/>
      <c r="D132" s="136"/>
      <c r="E132" s="136"/>
      <c r="F132" s="136"/>
      <c r="G132" s="136"/>
      <c r="H132" s="136"/>
      <c r="I132" s="138"/>
      <c r="J132" s="138"/>
      <c r="K132" s="138"/>
      <c r="L132" s="138"/>
      <c r="M132" s="138"/>
      <c r="N132" s="138"/>
      <c r="O132" s="138"/>
      <c r="P132" s="138"/>
    </row>
    <row r="133" spans="1:16" ht="12.75">
      <c r="A133" s="110"/>
      <c r="B133" s="136"/>
      <c r="C133" s="136"/>
      <c r="D133" s="136"/>
      <c r="E133" s="136"/>
      <c r="F133" s="136"/>
      <c r="G133" s="136"/>
      <c r="H133" s="136"/>
      <c r="I133" s="138"/>
      <c r="J133" s="138"/>
      <c r="K133" s="138"/>
      <c r="L133" s="138"/>
      <c r="M133" s="138"/>
      <c r="N133" s="138"/>
      <c r="O133" s="138"/>
      <c r="P133" s="138"/>
    </row>
    <row r="134" spans="1:16" ht="12.75">
      <c r="A134" s="110"/>
      <c r="B134" s="136"/>
      <c r="C134" s="136"/>
      <c r="D134" s="136"/>
      <c r="E134" s="136"/>
      <c r="F134" s="136"/>
      <c r="G134" s="136"/>
      <c r="H134" s="136"/>
      <c r="I134" s="138"/>
      <c r="J134" s="138"/>
      <c r="K134" s="138"/>
      <c r="L134" s="138"/>
      <c r="M134" s="138"/>
      <c r="N134" s="138"/>
      <c r="O134" s="138"/>
      <c r="P134" s="138"/>
    </row>
    <row r="135" spans="1:16" ht="12.75">
      <c r="A135" s="110"/>
      <c r="B135" s="136"/>
      <c r="C135" s="136"/>
      <c r="D135" s="136"/>
      <c r="E135" s="136"/>
      <c r="F135" s="136"/>
      <c r="G135" s="136"/>
      <c r="H135" s="136"/>
      <c r="I135" s="138"/>
      <c r="J135" s="138"/>
      <c r="K135" s="138"/>
      <c r="L135" s="138"/>
      <c r="M135" s="138"/>
      <c r="N135" s="138"/>
      <c r="O135" s="138"/>
      <c r="P135" s="138"/>
    </row>
    <row r="136" spans="1:16" ht="12.75">
      <c r="A136" s="110"/>
      <c r="B136" s="136"/>
      <c r="C136" s="136"/>
      <c r="D136" s="136"/>
      <c r="E136" s="136"/>
      <c r="F136" s="136"/>
      <c r="G136" s="136"/>
      <c r="H136" s="136"/>
      <c r="I136" s="138"/>
      <c r="J136" s="138"/>
      <c r="K136" s="138"/>
      <c r="L136" s="138"/>
      <c r="M136" s="138"/>
      <c r="N136" s="138"/>
      <c r="O136" s="138"/>
      <c r="P136" s="138"/>
    </row>
    <row r="137" spans="1:16" ht="12.75">
      <c r="A137" s="110"/>
      <c r="B137" s="136"/>
      <c r="C137" s="136"/>
      <c r="D137" s="136"/>
      <c r="E137" s="136"/>
      <c r="F137" s="136"/>
      <c r="G137" s="136"/>
      <c r="H137" s="136"/>
      <c r="I137" s="138"/>
      <c r="J137" s="138"/>
      <c r="K137" s="138"/>
      <c r="L137" s="138"/>
      <c r="M137" s="138"/>
      <c r="N137" s="138"/>
      <c r="O137" s="138"/>
      <c r="P137" s="138"/>
    </row>
    <row r="138" spans="1:16" ht="12.75">
      <c r="A138" s="110"/>
      <c r="B138" s="136"/>
      <c r="C138" s="136"/>
      <c r="D138" s="136"/>
      <c r="E138" s="136"/>
      <c r="F138" s="136"/>
      <c r="G138" s="136"/>
      <c r="H138" s="136"/>
      <c r="I138" s="138"/>
      <c r="J138" s="138"/>
      <c r="K138" s="138"/>
      <c r="L138" s="138"/>
      <c r="M138" s="138"/>
      <c r="N138" s="138"/>
      <c r="O138" s="138"/>
      <c r="P138" s="138"/>
    </row>
    <row r="139" spans="1:16" ht="12.75">
      <c r="A139" s="110"/>
      <c r="B139" s="136"/>
      <c r="C139" s="136"/>
      <c r="D139" s="136"/>
      <c r="E139" s="136"/>
      <c r="F139" s="136"/>
      <c r="G139" s="136"/>
      <c r="H139" s="136"/>
      <c r="I139" s="138"/>
      <c r="J139" s="138"/>
      <c r="K139" s="138"/>
      <c r="L139" s="138"/>
      <c r="M139" s="138"/>
      <c r="N139" s="138"/>
      <c r="O139" s="138"/>
      <c r="P139" s="138"/>
    </row>
    <row r="140" spans="1:16" ht="12.75">
      <c r="A140" s="110"/>
      <c r="B140" s="136"/>
      <c r="C140" s="136"/>
      <c r="D140" s="136"/>
      <c r="E140" s="136"/>
      <c r="F140" s="136"/>
      <c r="G140" s="136"/>
      <c r="H140" s="136"/>
      <c r="I140" s="138"/>
      <c r="J140" s="138"/>
      <c r="K140" s="138"/>
      <c r="L140" s="138"/>
      <c r="M140" s="138"/>
      <c r="N140" s="138"/>
      <c r="O140" s="138"/>
      <c r="P140" s="138"/>
    </row>
    <row r="141" spans="1:16" ht="12.75">
      <c r="A141" s="110"/>
      <c r="B141" s="136"/>
      <c r="C141" s="136"/>
      <c r="D141" s="136"/>
      <c r="E141" s="136"/>
      <c r="F141" s="136"/>
      <c r="G141" s="136"/>
      <c r="H141" s="136"/>
      <c r="I141" s="138"/>
      <c r="J141" s="138"/>
      <c r="K141" s="138"/>
      <c r="L141" s="138"/>
      <c r="M141" s="138"/>
      <c r="N141" s="138"/>
      <c r="O141" s="138"/>
      <c r="P141" s="138"/>
    </row>
    <row r="142" spans="1:16" ht="12.75">
      <c r="A142" s="110"/>
      <c r="B142" s="136"/>
      <c r="C142" s="136"/>
      <c r="D142" s="136"/>
      <c r="E142" s="136"/>
      <c r="F142" s="136"/>
      <c r="G142" s="136"/>
      <c r="H142" s="136"/>
      <c r="I142" s="138"/>
      <c r="J142" s="138"/>
      <c r="K142" s="138"/>
      <c r="L142" s="138"/>
      <c r="M142" s="138"/>
      <c r="N142" s="138"/>
      <c r="O142" s="138"/>
      <c r="P142" s="138"/>
    </row>
    <row r="143" spans="1:16" ht="12.75">
      <c r="A143" s="110"/>
      <c r="B143" s="136"/>
      <c r="C143" s="136"/>
      <c r="D143" s="136"/>
      <c r="E143" s="136"/>
      <c r="F143" s="136"/>
      <c r="G143" s="136"/>
      <c r="H143" s="136"/>
      <c r="I143" s="138"/>
      <c r="J143" s="138"/>
      <c r="K143" s="138"/>
      <c r="L143" s="138"/>
      <c r="M143" s="138"/>
      <c r="N143" s="138"/>
      <c r="O143" s="138"/>
      <c r="P143" s="138"/>
    </row>
    <row r="144" spans="1:16" ht="12.75">
      <c r="A144" s="110"/>
      <c r="B144" s="136"/>
      <c r="C144" s="136"/>
      <c r="D144" s="136"/>
      <c r="E144" s="136"/>
      <c r="F144" s="136"/>
      <c r="G144" s="136"/>
      <c r="H144" s="136"/>
      <c r="I144" s="138"/>
      <c r="J144" s="138"/>
      <c r="K144" s="138"/>
      <c r="L144" s="138"/>
      <c r="M144" s="138"/>
      <c r="N144" s="138"/>
      <c r="O144" s="138"/>
      <c r="P144" s="138"/>
    </row>
    <row r="145" spans="1:16" ht="12.75">
      <c r="A145" s="110"/>
      <c r="B145" s="136"/>
      <c r="C145" s="136"/>
      <c r="D145" s="136"/>
      <c r="E145" s="136"/>
      <c r="F145" s="136"/>
      <c r="G145" s="136"/>
      <c r="H145" s="136"/>
      <c r="I145" s="138"/>
      <c r="J145" s="138"/>
      <c r="K145" s="138"/>
      <c r="L145" s="138"/>
      <c r="M145" s="138"/>
      <c r="N145" s="138"/>
      <c r="O145" s="138"/>
      <c r="P145" s="138"/>
    </row>
    <row r="146" spans="1:16" ht="12.75">
      <c r="A146" s="110"/>
      <c r="B146" s="136"/>
      <c r="C146" s="136"/>
      <c r="D146" s="136"/>
      <c r="E146" s="136"/>
      <c r="F146" s="136"/>
      <c r="G146" s="136"/>
      <c r="H146" s="136"/>
      <c r="I146" s="138"/>
      <c r="J146" s="138"/>
      <c r="K146" s="138"/>
      <c r="L146" s="138"/>
      <c r="M146" s="138"/>
      <c r="N146" s="138"/>
      <c r="O146" s="138"/>
      <c r="P146" s="138"/>
    </row>
    <row r="147" spans="1:16" ht="12.75">
      <c r="A147" s="110"/>
      <c r="B147" s="136"/>
      <c r="C147" s="136"/>
      <c r="D147" s="136"/>
      <c r="E147" s="136"/>
      <c r="F147" s="136"/>
      <c r="G147" s="136"/>
      <c r="H147" s="136"/>
      <c r="I147" s="138"/>
      <c r="J147" s="138"/>
      <c r="K147" s="138"/>
      <c r="L147" s="138"/>
      <c r="M147" s="138"/>
      <c r="N147" s="138"/>
      <c r="O147" s="138"/>
      <c r="P147" s="138"/>
    </row>
    <row r="148" spans="1:16" ht="12.75">
      <c r="A148" s="110"/>
      <c r="B148" s="136"/>
      <c r="C148" s="136"/>
      <c r="D148" s="136"/>
      <c r="E148" s="136"/>
      <c r="F148" s="136"/>
      <c r="G148" s="136"/>
      <c r="H148" s="136"/>
      <c r="I148" s="138"/>
      <c r="J148" s="138"/>
      <c r="K148" s="138"/>
      <c r="L148" s="138"/>
      <c r="M148" s="138"/>
      <c r="N148" s="138"/>
      <c r="O148" s="138"/>
      <c r="P148" s="138"/>
    </row>
    <row r="149" spans="1:16" ht="12.75">
      <c r="A149" s="110"/>
      <c r="B149" s="136"/>
      <c r="C149" s="136"/>
      <c r="D149" s="136"/>
      <c r="E149" s="136"/>
      <c r="F149" s="136"/>
      <c r="G149" s="136"/>
      <c r="H149" s="136"/>
      <c r="I149" s="138"/>
      <c r="J149" s="138"/>
      <c r="K149" s="138"/>
      <c r="L149" s="138"/>
      <c r="M149" s="138"/>
      <c r="N149" s="138"/>
      <c r="O149" s="138"/>
      <c r="P149" s="138"/>
    </row>
    <row r="150" spans="1:16" ht="12.75">
      <c r="A150" s="110"/>
      <c r="B150" s="136"/>
      <c r="C150" s="136"/>
      <c r="D150" s="136"/>
      <c r="E150" s="136"/>
      <c r="F150" s="136"/>
      <c r="G150" s="136"/>
      <c r="H150" s="136"/>
      <c r="I150" s="138"/>
      <c r="J150" s="138"/>
      <c r="K150" s="138"/>
      <c r="L150" s="138"/>
      <c r="M150" s="138"/>
      <c r="N150" s="138"/>
      <c r="O150" s="138"/>
      <c r="P150" s="138"/>
    </row>
    <row r="151" spans="1:16" ht="12.75">
      <c r="A151" s="110"/>
      <c r="B151" s="136"/>
      <c r="C151" s="136"/>
      <c r="D151" s="136"/>
      <c r="E151" s="136"/>
      <c r="F151" s="136"/>
      <c r="G151" s="136"/>
      <c r="H151" s="136"/>
      <c r="I151" s="138"/>
      <c r="J151" s="138"/>
      <c r="K151" s="138"/>
      <c r="L151" s="138"/>
      <c r="M151" s="138"/>
      <c r="N151" s="138"/>
      <c r="O151" s="138"/>
      <c r="P151" s="138"/>
    </row>
    <row r="152" spans="1:16" ht="12.75">
      <c r="A152" s="110"/>
      <c r="B152" s="136"/>
      <c r="C152" s="136"/>
      <c r="D152" s="136"/>
      <c r="E152" s="136"/>
      <c r="F152" s="136"/>
      <c r="G152" s="136"/>
      <c r="H152" s="136"/>
      <c r="I152" s="138"/>
      <c r="J152" s="138"/>
      <c r="K152" s="138"/>
      <c r="L152" s="138"/>
      <c r="M152" s="138"/>
      <c r="N152" s="138"/>
      <c r="O152" s="138"/>
      <c r="P152" s="138"/>
    </row>
    <row r="153" spans="1:16" ht="12.75">
      <c r="A153" s="110"/>
      <c r="B153" s="136"/>
      <c r="C153" s="136"/>
      <c r="D153" s="136"/>
      <c r="E153" s="136"/>
      <c r="F153" s="136"/>
      <c r="G153" s="136"/>
      <c r="H153" s="136"/>
      <c r="I153" s="138"/>
      <c r="J153" s="138"/>
      <c r="K153" s="138"/>
      <c r="L153" s="138"/>
      <c r="M153" s="138"/>
      <c r="N153" s="138"/>
      <c r="O153" s="138"/>
      <c r="P153" s="138"/>
    </row>
    <row r="154" spans="1:16" ht="12.75">
      <c r="A154" s="110"/>
      <c r="B154" s="136"/>
      <c r="C154" s="136"/>
      <c r="D154" s="136"/>
      <c r="E154" s="136"/>
      <c r="F154" s="136"/>
      <c r="G154" s="136"/>
      <c r="H154" s="136"/>
      <c r="I154" s="138"/>
      <c r="J154" s="138"/>
      <c r="K154" s="138"/>
      <c r="L154" s="138"/>
      <c r="M154" s="138"/>
      <c r="N154" s="138"/>
      <c r="O154" s="138"/>
      <c r="P154" s="138"/>
    </row>
    <row r="155" spans="1:16" ht="12.75">
      <c r="A155" s="110"/>
      <c r="B155" s="136"/>
      <c r="C155" s="136"/>
      <c r="D155" s="136"/>
      <c r="E155" s="136"/>
      <c r="F155" s="136"/>
      <c r="G155" s="136"/>
      <c r="H155" s="136"/>
      <c r="I155" s="138"/>
      <c r="J155" s="138"/>
      <c r="K155" s="138"/>
      <c r="L155" s="138"/>
      <c r="M155" s="138"/>
      <c r="N155" s="138"/>
      <c r="O155" s="138"/>
      <c r="P155" s="138"/>
    </row>
    <row r="156" spans="1:16" ht="12.75">
      <c r="A156" s="110"/>
      <c r="B156" s="136"/>
      <c r="C156" s="136"/>
      <c r="D156" s="136"/>
      <c r="E156" s="136"/>
      <c r="F156" s="136"/>
      <c r="G156" s="136"/>
      <c r="H156" s="136"/>
      <c r="I156" s="138"/>
      <c r="J156" s="138"/>
      <c r="K156" s="138"/>
      <c r="L156" s="138"/>
      <c r="M156" s="138"/>
      <c r="N156" s="138"/>
      <c r="O156" s="138"/>
      <c r="P156" s="138"/>
    </row>
    <row r="157" spans="1:16" ht="12.75">
      <c r="A157" s="110"/>
      <c r="B157" s="136"/>
      <c r="C157" s="136"/>
      <c r="D157" s="136"/>
      <c r="E157" s="136"/>
      <c r="F157" s="136"/>
      <c r="G157" s="136"/>
      <c r="H157" s="136"/>
      <c r="I157" s="138"/>
      <c r="J157" s="138"/>
      <c r="K157" s="138"/>
      <c r="L157" s="138"/>
      <c r="M157" s="138"/>
      <c r="N157" s="138"/>
      <c r="O157" s="138"/>
      <c r="P157" s="138"/>
    </row>
    <row r="158" spans="1:16" ht="12.75">
      <c r="A158" s="110"/>
      <c r="B158" s="136"/>
      <c r="C158" s="136"/>
      <c r="D158" s="136"/>
      <c r="E158" s="136"/>
      <c r="F158" s="136"/>
      <c r="G158" s="136"/>
      <c r="H158" s="136"/>
      <c r="I158" s="138"/>
      <c r="J158" s="138"/>
      <c r="K158" s="138"/>
      <c r="L158" s="138"/>
      <c r="M158" s="138"/>
      <c r="N158" s="138"/>
      <c r="O158" s="138"/>
      <c r="P158" s="138"/>
    </row>
    <row r="159" spans="1:16" ht="12.75">
      <c r="A159" s="110"/>
      <c r="B159" s="136"/>
      <c r="C159" s="136"/>
      <c r="D159" s="136"/>
      <c r="E159" s="136"/>
      <c r="F159" s="136"/>
      <c r="G159" s="136"/>
      <c r="H159" s="136"/>
      <c r="I159" s="138"/>
      <c r="J159" s="138"/>
      <c r="K159" s="138"/>
      <c r="L159" s="138"/>
      <c r="M159" s="138"/>
      <c r="N159" s="138"/>
      <c r="O159" s="138"/>
      <c r="P159" s="138"/>
    </row>
    <row r="160" spans="1:16" ht="12.75">
      <c r="A160" s="110"/>
      <c r="B160" s="136"/>
      <c r="C160" s="136"/>
      <c r="D160" s="136"/>
      <c r="E160" s="136"/>
      <c r="F160" s="136"/>
      <c r="G160" s="136"/>
      <c r="H160" s="136"/>
      <c r="I160" s="138"/>
      <c r="J160" s="138"/>
      <c r="K160" s="138"/>
      <c r="L160" s="138"/>
      <c r="M160" s="138"/>
      <c r="N160" s="138"/>
      <c r="O160" s="138"/>
      <c r="P160" s="138"/>
    </row>
    <row r="161" spans="1:16" ht="12.75">
      <c r="A161" s="110"/>
      <c r="B161" s="136"/>
      <c r="C161" s="136"/>
      <c r="D161" s="136"/>
      <c r="E161" s="136"/>
      <c r="F161" s="136"/>
      <c r="G161" s="136"/>
      <c r="H161" s="136"/>
      <c r="I161" s="138"/>
      <c r="J161" s="138"/>
      <c r="K161" s="138"/>
      <c r="L161" s="138"/>
      <c r="M161" s="138"/>
      <c r="N161" s="138"/>
      <c r="O161" s="138"/>
      <c r="P161" s="138"/>
    </row>
    <row r="162" spans="1:16" ht="12.75">
      <c r="A162" s="110"/>
      <c r="B162" s="136"/>
      <c r="C162" s="136"/>
      <c r="D162" s="136"/>
      <c r="E162" s="136"/>
      <c r="F162" s="136"/>
      <c r="G162" s="136"/>
      <c r="H162" s="136"/>
      <c r="I162" s="138"/>
      <c r="J162" s="138"/>
      <c r="K162" s="138"/>
      <c r="L162" s="138"/>
      <c r="M162" s="138"/>
      <c r="N162" s="138"/>
      <c r="O162" s="138"/>
      <c r="P162" s="138"/>
    </row>
    <row r="163" spans="1:16" ht="12.75">
      <c r="A163" s="110"/>
      <c r="B163" s="136"/>
      <c r="C163" s="136"/>
      <c r="D163" s="136"/>
      <c r="E163" s="136"/>
      <c r="F163" s="136"/>
      <c r="G163" s="136"/>
      <c r="H163" s="136"/>
      <c r="I163" s="138"/>
      <c r="J163" s="138"/>
      <c r="K163" s="138"/>
      <c r="L163" s="138"/>
      <c r="M163" s="138"/>
      <c r="N163" s="138"/>
      <c r="O163" s="138"/>
      <c r="P163" s="138"/>
    </row>
    <row r="164" spans="1:16" ht="12.75">
      <c r="A164" s="110"/>
      <c r="B164" s="136"/>
      <c r="C164" s="136"/>
      <c r="D164" s="136"/>
      <c r="E164" s="136"/>
      <c r="F164" s="136"/>
      <c r="G164" s="136"/>
      <c r="H164" s="136"/>
      <c r="I164" s="138"/>
      <c r="J164" s="138"/>
      <c r="K164" s="138"/>
      <c r="L164" s="138"/>
      <c r="M164" s="138"/>
      <c r="N164" s="138"/>
      <c r="O164" s="138"/>
      <c r="P164" s="138"/>
    </row>
    <row r="165" spans="1:16" ht="12.75">
      <c r="A165" s="110"/>
      <c r="B165" s="136"/>
      <c r="C165" s="136"/>
      <c r="D165" s="136"/>
      <c r="E165" s="136"/>
      <c r="F165" s="136"/>
      <c r="G165" s="136"/>
      <c r="H165" s="136"/>
      <c r="I165" s="138"/>
      <c r="J165" s="138"/>
      <c r="K165" s="138"/>
      <c r="L165" s="138"/>
      <c r="M165" s="138"/>
      <c r="N165" s="138"/>
      <c r="O165" s="138"/>
      <c r="P165" s="138"/>
    </row>
    <row r="166" spans="1:16" ht="12.75">
      <c r="A166" s="110"/>
      <c r="B166" s="136"/>
      <c r="C166" s="136"/>
      <c r="D166" s="136"/>
      <c r="E166" s="136"/>
      <c r="F166" s="136"/>
      <c r="G166" s="136"/>
      <c r="H166" s="136"/>
      <c r="I166" s="138"/>
      <c r="J166" s="138"/>
      <c r="K166" s="138"/>
      <c r="L166" s="138"/>
      <c r="M166" s="138"/>
      <c r="N166" s="138"/>
      <c r="O166" s="138"/>
      <c r="P166" s="138"/>
    </row>
    <row r="167" spans="1:16" ht="12.75">
      <c r="A167" s="110"/>
      <c r="B167" s="136"/>
      <c r="C167" s="136"/>
      <c r="D167" s="136"/>
      <c r="E167" s="136"/>
      <c r="F167" s="136"/>
      <c r="G167" s="136"/>
      <c r="H167" s="136"/>
      <c r="I167" s="138"/>
      <c r="J167" s="138"/>
      <c r="K167" s="138"/>
      <c r="L167" s="138"/>
      <c r="M167" s="138"/>
      <c r="N167" s="138"/>
      <c r="O167" s="138"/>
      <c r="P167" s="138"/>
    </row>
    <row r="168" spans="1:16" ht="12.75">
      <c r="A168" s="110"/>
      <c r="B168" s="136"/>
      <c r="C168" s="136"/>
      <c r="D168" s="136"/>
      <c r="E168" s="136"/>
      <c r="F168" s="136"/>
      <c r="G168" s="136"/>
      <c r="H168" s="136"/>
      <c r="I168" s="138"/>
      <c r="J168" s="138"/>
      <c r="K168" s="138"/>
      <c r="L168" s="138"/>
      <c r="M168" s="138"/>
      <c r="N168" s="138"/>
      <c r="O168" s="138"/>
      <c r="P168" s="138"/>
    </row>
    <row r="169" spans="1:16" ht="12.75">
      <c r="A169" s="110"/>
      <c r="B169" s="136"/>
      <c r="C169" s="136"/>
      <c r="D169" s="136"/>
      <c r="E169" s="136"/>
      <c r="F169" s="136"/>
      <c r="G169" s="136"/>
      <c r="H169" s="136"/>
      <c r="I169" s="138"/>
      <c r="J169" s="138"/>
      <c r="K169" s="138"/>
      <c r="L169" s="138"/>
      <c r="M169" s="138"/>
      <c r="N169" s="138"/>
      <c r="O169" s="138"/>
      <c r="P169" s="138"/>
    </row>
    <row r="170" spans="1:16" ht="12.75">
      <c r="A170" s="110"/>
      <c r="B170" s="136"/>
      <c r="C170" s="136"/>
      <c r="D170" s="136"/>
      <c r="E170" s="136"/>
      <c r="F170" s="136"/>
      <c r="G170" s="136"/>
      <c r="H170" s="136"/>
      <c r="I170" s="138"/>
      <c r="J170" s="138"/>
      <c r="K170" s="138"/>
      <c r="L170" s="138"/>
      <c r="M170" s="138"/>
      <c r="N170" s="138"/>
      <c r="O170" s="138"/>
      <c r="P170" s="138"/>
    </row>
    <row r="171" spans="1:16" ht="12.75">
      <c r="A171" s="110"/>
      <c r="B171" s="136"/>
      <c r="C171" s="136"/>
      <c r="D171" s="136"/>
      <c r="E171" s="136"/>
      <c r="F171" s="136"/>
      <c r="G171" s="136"/>
      <c r="H171" s="136"/>
      <c r="I171" s="138"/>
      <c r="J171" s="138"/>
      <c r="K171" s="138"/>
      <c r="L171" s="138"/>
      <c r="M171" s="138"/>
      <c r="N171" s="138"/>
      <c r="O171" s="138"/>
      <c r="P171" s="138"/>
    </row>
    <row r="172" spans="1:16" ht="12.75">
      <c r="A172" s="110"/>
      <c r="B172" s="136"/>
      <c r="C172" s="136"/>
      <c r="D172" s="136"/>
      <c r="E172" s="136"/>
      <c r="F172" s="136"/>
      <c r="G172" s="136"/>
      <c r="H172" s="136"/>
      <c r="I172" s="138"/>
      <c r="J172" s="138"/>
      <c r="K172" s="138"/>
      <c r="L172" s="138"/>
      <c r="M172" s="138"/>
      <c r="N172" s="138"/>
      <c r="O172" s="138"/>
      <c r="P172" s="138"/>
    </row>
    <row r="173" spans="2:16" ht="12.75">
      <c r="B173" s="136"/>
      <c r="C173" s="136"/>
      <c r="D173" s="136"/>
      <c r="E173" s="136"/>
      <c r="F173" s="136"/>
      <c r="G173" s="136"/>
      <c r="H173" s="136"/>
      <c r="I173" s="138"/>
      <c r="J173" s="138"/>
      <c r="K173" s="138"/>
      <c r="L173" s="138"/>
      <c r="M173" s="138"/>
      <c r="N173" s="138"/>
      <c r="O173" s="138"/>
      <c r="P173" s="138"/>
    </row>
    <row r="174" spans="2:16" ht="12.75">
      <c r="B174" s="136"/>
      <c r="C174" s="136"/>
      <c r="D174" s="136"/>
      <c r="E174" s="136"/>
      <c r="F174" s="136"/>
      <c r="G174" s="136"/>
      <c r="H174" s="136"/>
      <c r="I174" s="138"/>
      <c r="J174" s="138"/>
      <c r="K174" s="138"/>
      <c r="L174" s="138"/>
      <c r="M174" s="138"/>
      <c r="N174" s="138"/>
      <c r="O174" s="138"/>
      <c r="P174" s="138"/>
    </row>
    <row r="175" spans="2:16" ht="12.75">
      <c r="B175" s="136"/>
      <c r="C175" s="136"/>
      <c r="D175" s="136"/>
      <c r="E175" s="136"/>
      <c r="F175" s="136"/>
      <c r="G175" s="136"/>
      <c r="H175" s="136"/>
      <c r="I175" s="138"/>
      <c r="J175" s="138"/>
      <c r="K175" s="138"/>
      <c r="L175" s="138"/>
      <c r="M175" s="138"/>
      <c r="N175" s="138"/>
      <c r="O175" s="138"/>
      <c r="P175" s="138"/>
    </row>
    <row r="176" spans="2:16" ht="12.75">
      <c r="B176" s="136"/>
      <c r="C176" s="136"/>
      <c r="D176" s="136"/>
      <c r="E176" s="136"/>
      <c r="F176" s="136"/>
      <c r="G176" s="136"/>
      <c r="H176" s="136"/>
      <c r="I176" s="138"/>
      <c r="J176" s="138"/>
      <c r="K176" s="138"/>
      <c r="L176" s="138"/>
      <c r="M176" s="138"/>
      <c r="N176" s="138"/>
      <c r="O176" s="138"/>
      <c r="P176" s="138"/>
    </row>
    <row r="177" spans="2:16" ht="12.75">
      <c r="B177" s="136"/>
      <c r="C177" s="136"/>
      <c r="D177" s="136"/>
      <c r="E177" s="136"/>
      <c r="F177" s="136"/>
      <c r="G177" s="136"/>
      <c r="H177" s="136"/>
      <c r="I177" s="138"/>
      <c r="J177" s="138"/>
      <c r="K177" s="138"/>
      <c r="L177" s="138"/>
      <c r="M177" s="138"/>
      <c r="N177" s="138"/>
      <c r="O177" s="138"/>
      <c r="P177" s="138"/>
    </row>
    <row r="178" spans="2:16" ht="12.75">
      <c r="B178" s="136"/>
      <c r="C178" s="136"/>
      <c r="D178" s="136"/>
      <c r="E178" s="136"/>
      <c r="F178" s="136"/>
      <c r="G178" s="136"/>
      <c r="H178" s="136"/>
      <c r="I178" s="138"/>
      <c r="J178" s="138"/>
      <c r="K178" s="138"/>
      <c r="L178" s="138"/>
      <c r="M178" s="138"/>
      <c r="N178" s="138"/>
      <c r="O178" s="138"/>
      <c r="P178" s="138"/>
    </row>
    <row r="179" spans="2:16" ht="12.75">
      <c r="B179" s="136"/>
      <c r="C179" s="136"/>
      <c r="D179" s="136"/>
      <c r="E179" s="136"/>
      <c r="F179" s="136"/>
      <c r="G179" s="136"/>
      <c r="H179" s="136"/>
      <c r="I179" s="138"/>
      <c r="J179" s="138"/>
      <c r="K179" s="138"/>
      <c r="L179" s="138"/>
      <c r="M179" s="138"/>
      <c r="N179" s="138"/>
      <c r="O179" s="138"/>
      <c r="P179" s="138"/>
    </row>
    <row r="180" spans="2:16" ht="12.75">
      <c r="B180" s="136"/>
      <c r="C180" s="136"/>
      <c r="D180" s="136"/>
      <c r="E180" s="136"/>
      <c r="F180" s="136"/>
      <c r="G180" s="136"/>
      <c r="H180" s="136"/>
      <c r="I180" s="138"/>
      <c r="J180" s="138"/>
      <c r="K180" s="138"/>
      <c r="L180" s="138"/>
      <c r="M180" s="138"/>
      <c r="N180" s="138"/>
      <c r="O180" s="138"/>
      <c r="P180" s="138"/>
    </row>
    <row r="181" spans="2:16" ht="12.75">
      <c r="B181" s="136"/>
      <c r="C181" s="136"/>
      <c r="D181" s="136"/>
      <c r="E181" s="136"/>
      <c r="F181" s="136"/>
      <c r="G181" s="136"/>
      <c r="H181" s="136"/>
      <c r="I181" s="138"/>
      <c r="J181" s="138"/>
      <c r="K181" s="138"/>
      <c r="L181" s="138"/>
      <c r="M181" s="138"/>
      <c r="N181" s="138"/>
      <c r="O181" s="138"/>
      <c r="P181" s="138"/>
    </row>
    <row r="182" spans="2:16" ht="12.75">
      <c r="B182" s="136"/>
      <c r="C182" s="136"/>
      <c r="D182" s="136"/>
      <c r="E182" s="136"/>
      <c r="F182" s="136"/>
      <c r="G182" s="136"/>
      <c r="H182" s="136"/>
      <c r="I182" s="138"/>
      <c r="J182" s="138"/>
      <c r="K182" s="138"/>
      <c r="L182" s="138"/>
      <c r="M182" s="138"/>
      <c r="N182" s="138"/>
      <c r="O182" s="138"/>
      <c r="P182" s="138"/>
    </row>
    <row r="183" spans="2:16" ht="12.75">
      <c r="B183" s="136"/>
      <c r="C183" s="136"/>
      <c r="D183" s="136"/>
      <c r="E183" s="136"/>
      <c r="F183" s="136"/>
      <c r="G183" s="136"/>
      <c r="H183" s="136"/>
      <c r="I183" s="138"/>
      <c r="J183" s="138"/>
      <c r="K183" s="138"/>
      <c r="L183" s="138"/>
      <c r="M183" s="138"/>
      <c r="N183" s="138"/>
      <c r="O183" s="138"/>
      <c r="P183" s="138"/>
    </row>
    <row r="184" spans="2:16" ht="12.75">
      <c r="B184" s="136"/>
      <c r="C184" s="136"/>
      <c r="D184" s="136"/>
      <c r="E184" s="136"/>
      <c r="F184" s="136"/>
      <c r="G184" s="136"/>
      <c r="H184" s="136"/>
      <c r="I184" s="138"/>
      <c r="J184" s="138"/>
      <c r="K184" s="138"/>
      <c r="L184" s="138"/>
      <c r="M184" s="138"/>
      <c r="N184" s="138"/>
      <c r="O184" s="138"/>
      <c r="P184" s="138"/>
    </row>
    <row r="185" spans="2:16" ht="12.75">
      <c r="B185" s="136"/>
      <c r="C185" s="136"/>
      <c r="D185" s="136"/>
      <c r="E185" s="136"/>
      <c r="F185" s="136"/>
      <c r="G185" s="136"/>
      <c r="H185" s="136"/>
      <c r="I185" s="138"/>
      <c r="J185" s="138"/>
      <c r="K185" s="138"/>
      <c r="L185" s="138"/>
      <c r="M185" s="138"/>
      <c r="N185" s="138"/>
      <c r="O185" s="138"/>
      <c r="P185" s="138"/>
    </row>
    <row r="186" spans="2:16" ht="12.75">
      <c r="B186" s="136"/>
      <c r="C186" s="136"/>
      <c r="D186" s="136"/>
      <c r="E186" s="136"/>
      <c r="F186" s="136"/>
      <c r="G186" s="136"/>
      <c r="H186" s="136"/>
      <c r="I186" s="138"/>
      <c r="J186" s="138"/>
      <c r="K186" s="138"/>
      <c r="L186" s="138"/>
      <c r="M186" s="138"/>
      <c r="N186" s="138"/>
      <c r="O186" s="138"/>
      <c r="P186" s="138"/>
    </row>
    <row r="187" spans="2:16" ht="12.75">
      <c r="B187" s="136"/>
      <c r="C187" s="136"/>
      <c r="D187" s="136"/>
      <c r="E187" s="136"/>
      <c r="F187" s="136"/>
      <c r="G187" s="136"/>
      <c r="H187" s="136"/>
      <c r="I187" s="138"/>
      <c r="J187" s="138"/>
      <c r="K187" s="138"/>
      <c r="L187" s="138"/>
      <c r="M187" s="138"/>
      <c r="N187" s="138"/>
      <c r="O187" s="138"/>
      <c r="P187" s="138"/>
    </row>
    <row r="188" spans="2:16" ht="12.75">
      <c r="B188" s="136"/>
      <c r="C188" s="136"/>
      <c r="D188" s="136"/>
      <c r="E188" s="136"/>
      <c r="F188" s="136"/>
      <c r="G188" s="136"/>
      <c r="H188" s="136"/>
      <c r="I188" s="138"/>
      <c r="J188" s="138"/>
      <c r="K188" s="138"/>
      <c r="L188" s="138"/>
      <c r="M188" s="138"/>
      <c r="N188" s="138"/>
      <c r="O188" s="138"/>
      <c r="P188" s="138"/>
    </row>
    <row r="189" spans="2:16" ht="12.75">
      <c r="B189" s="136"/>
      <c r="C189" s="136"/>
      <c r="D189" s="136"/>
      <c r="E189" s="136"/>
      <c r="F189" s="136"/>
      <c r="G189" s="136"/>
      <c r="H189" s="136"/>
      <c r="I189" s="138"/>
      <c r="J189" s="138"/>
      <c r="K189" s="138"/>
      <c r="L189" s="138"/>
      <c r="M189" s="138"/>
      <c r="N189" s="138"/>
      <c r="O189" s="138"/>
      <c r="P189" s="138"/>
    </row>
    <row r="190" spans="2:16" ht="12.75">
      <c r="B190" s="136"/>
      <c r="C190" s="136"/>
      <c r="D190" s="136"/>
      <c r="E190" s="136"/>
      <c r="F190" s="136"/>
      <c r="G190" s="136"/>
      <c r="H190" s="136"/>
      <c r="I190" s="138"/>
      <c r="J190" s="138"/>
      <c r="K190" s="138"/>
      <c r="L190" s="138"/>
      <c r="M190" s="138"/>
      <c r="N190" s="138"/>
      <c r="O190" s="138"/>
      <c r="P190" s="138"/>
    </row>
    <row r="191" spans="2:16" ht="12.75">
      <c r="B191" s="136"/>
      <c r="C191" s="136"/>
      <c r="D191" s="136"/>
      <c r="E191" s="136"/>
      <c r="F191" s="136"/>
      <c r="G191" s="136"/>
      <c r="H191" s="136"/>
      <c r="I191" s="138"/>
      <c r="J191" s="138"/>
      <c r="K191" s="138"/>
      <c r="L191" s="138"/>
      <c r="M191" s="138"/>
      <c r="N191" s="138"/>
      <c r="O191" s="138"/>
      <c r="P191" s="138"/>
    </row>
    <row r="192" spans="2:16" ht="12.75">
      <c r="B192" s="136"/>
      <c r="C192" s="136"/>
      <c r="D192" s="136"/>
      <c r="E192" s="136"/>
      <c r="F192" s="136"/>
      <c r="G192" s="136"/>
      <c r="H192" s="136"/>
      <c r="I192" s="138"/>
      <c r="J192" s="138"/>
      <c r="K192" s="138"/>
      <c r="L192" s="138"/>
      <c r="M192" s="138"/>
      <c r="N192" s="138"/>
      <c r="O192" s="138"/>
      <c r="P192" s="138"/>
    </row>
    <row r="193" spans="2:16" ht="12.75">
      <c r="B193" s="136"/>
      <c r="C193" s="136"/>
      <c r="D193" s="136"/>
      <c r="E193" s="136"/>
      <c r="F193" s="136"/>
      <c r="G193" s="136"/>
      <c r="H193" s="136"/>
      <c r="I193" s="138"/>
      <c r="J193" s="138"/>
      <c r="K193" s="138"/>
      <c r="L193" s="138"/>
      <c r="M193" s="138"/>
      <c r="N193" s="138"/>
      <c r="O193" s="138"/>
      <c r="P193" s="138"/>
    </row>
    <row r="194" spans="2:16" ht="12.75">
      <c r="B194" s="136"/>
      <c r="C194" s="136"/>
      <c r="D194" s="136"/>
      <c r="E194" s="136"/>
      <c r="F194" s="136"/>
      <c r="G194" s="136"/>
      <c r="H194" s="136"/>
      <c r="I194" s="138"/>
      <c r="J194" s="138"/>
      <c r="K194" s="138"/>
      <c r="L194" s="138"/>
      <c r="M194" s="138"/>
      <c r="N194" s="138"/>
      <c r="O194" s="138"/>
      <c r="P194" s="138"/>
    </row>
    <row r="195" spans="2:16" ht="12.75">
      <c r="B195" s="136"/>
      <c r="C195" s="136"/>
      <c r="D195" s="136"/>
      <c r="E195" s="136"/>
      <c r="F195" s="136"/>
      <c r="G195" s="136"/>
      <c r="H195" s="136"/>
      <c r="I195" s="138"/>
      <c r="J195" s="138"/>
      <c r="K195" s="138"/>
      <c r="L195" s="138"/>
      <c r="M195" s="138"/>
      <c r="N195" s="138"/>
      <c r="O195" s="138"/>
      <c r="P195" s="138"/>
    </row>
    <row r="196" spans="2:16" ht="12.75">
      <c r="B196" s="136"/>
      <c r="C196" s="136"/>
      <c r="D196" s="136"/>
      <c r="E196" s="136"/>
      <c r="F196" s="136"/>
      <c r="G196" s="136"/>
      <c r="H196" s="136"/>
      <c r="I196" s="138"/>
      <c r="J196" s="138"/>
      <c r="K196" s="138"/>
      <c r="L196" s="138"/>
      <c r="M196" s="138"/>
      <c r="N196" s="138"/>
      <c r="O196" s="138"/>
      <c r="P196" s="138"/>
    </row>
    <row r="197" spans="2:16" ht="12.75">
      <c r="B197" s="136"/>
      <c r="C197" s="136"/>
      <c r="D197" s="136"/>
      <c r="E197" s="136"/>
      <c r="F197" s="136"/>
      <c r="G197" s="136"/>
      <c r="H197" s="136"/>
      <c r="I197" s="138"/>
      <c r="J197" s="138"/>
      <c r="K197" s="138"/>
      <c r="L197" s="138"/>
      <c r="M197" s="138"/>
      <c r="N197" s="138"/>
      <c r="O197" s="138"/>
      <c r="P197" s="138"/>
    </row>
    <row r="198" spans="2:16" ht="12.75">
      <c r="B198" s="136"/>
      <c r="C198" s="136"/>
      <c r="D198" s="136"/>
      <c r="E198" s="136"/>
      <c r="F198" s="136"/>
      <c r="G198" s="136"/>
      <c r="H198" s="136"/>
      <c r="I198" s="138"/>
      <c r="J198" s="138"/>
      <c r="K198" s="138"/>
      <c r="L198" s="138"/>
      <c r="M198" s="138"/>
      <c r="N198" s="138"/>
      <c r="O198" s="138"/>
      <c r="P198" s="138"/>
    </row>
    <row r="199" spans="2:16" ht="12.75">
      <c r="B199" s="136"/>
      <c r="C199" s="136"/>
      <c r="D199" s="136"/>
      <c r="E199" s="136"/>
      <c r="F199" s="136"/>
      <c r="G199" s="136"/>
      <c r="H199" s="136"/>
      <c r="I199" s="138"/>
      <c r="J199" s="138"/>
      <c r="K199" s="138"/>
      <c r="L199" s="138"/>
      <c r="M199" s="138"/>
      <c r="N199" s="138"/>
      <c r="O199" s="138"/>
      <c r="P199" s="138"/>
    </row>
    <row r="200" spans="2:16" ht="12.75">
      <c r="B200" s="136"/>
      <c r="C200" s="136"/>
      <c r="D200" s="136"/>
      <c r="E200" s="136"/>
      <c r="F200" s="136"/>
      <c r="G200" s="136"/>
      <c r="H200" s="136"/>
      <c r="I200" s="138"/>
      <c r="J200" s="138"/>
      <c r="K200" s="138"/>
      <c r="L200" s="138"/>
      <c r="M200" s="138"/>
      <c r="N200" s="138"/>
      <c r="O200" s="138"/>
      <c r="P200" s="138"/>
    </row>
    <row r="201" spans="2:16" ht="12.75">
      <c r="B201" s="136"/>
      <c r="C201" s="136"/>
      <c r="D201" s="136"/>
      <c r="E201" s="136"/>
      <c r="F201" s="136"/>
      <c r="G201" s="136"/>
      <c r="H201" s="136"/>
      <c r="I201" s="138"/>
      <c r="J201" s="138"/>
      <c r="K201" s="138"/>
      <c r="L201" s="138"/>
      <c r="M201" s="138"/>
      <c r="N201" s="138"/>
      <c r="O201" s="138"/>
      <c r="P201" s="138"/>
    </row>
    <row r="202" spans="2:16" ht="12.75">
      <c r="B202" s="136"/>
      <c r="C202" s="136"/>
      <c r="D202" s="136"/>
      <c r="E202" s="136"/>
      <c r="F202" s="136"/>
      <c r="G202" s="136"/>
      <c r="H202" s="136"/>
      <c r="I202" s="138"/>
      <c r="J202" s="138"/>
      <c r="K202" s="138"/>
      <c r="L202" s="138"/>
      <c r="M202" s="138"/>
      <c r="N202" s="138"/>
      <c r="O202" s="138"/>
      <c r="P202" s="138"/>
    </row>
    <row r="203" spans="2:16" ht="12.75">
      <c r="B203" s="136"/>
      <c r="C203" s="136"/>
      <c r="D203" s="136"/>
      <c r="E203" s="136"/>
      <c r="F203" s="136"/>
      <c r="G203" s="136"/>
      <c r="H203" s="136"/>
      <c r="I203" s="138"/>
      <c r="J203" s="138"/>
      <c r="K203" s="138"/>
      <c r="L203" s="138"/>
      <c r="M203" s="138"/>
      <c r="N203" s="138"/>
      <c r="O203" s="138"/>
      <c r="P203" s="138"/>
    </row>
    <row r="204" spans="2:16" ht="12.75">
      <c r="B204" s="136"/>
      <c r="C204" s="136"/>
      <c r="D204" s="136"/>
      <c r="E204" s="136"/>
      <c r="F204" s="136"/>
      <c r="G204" s="136"/>
      <c r="H204" s="136"/>
      <c r="I204" s="138"/>
      <c r="J204" s="138"/>
      <c r="K204" s="138"/>
      <c r="L204" s="138"/>
      <c r="M204" s="138"/>
      <c r="N204" s="138"/>
      <c r="O204" s="138"/>
      <c r="P204" s="138"/>
    </row>
    <row r="205" spans="2:16" ht="12.75">
      <c r="B205" s="136"/>
      <c r="C205" s="136"/>
      <c r="D205" s="136"/>
      <c r="E205" s="136"/>
      <c r="F205" s="136"/>
      <c r="G205" s="136"/>
      <c r="H205" s="136"/>
      <c r="I205" s="138"/>
      <c r="J205" s="138"/>
      <c r="K205" s="138"/>
      <c r="L205" s="138"/>
      <c r="M205" s="138"/>
      <c r="N205" s="138"/>
      <c r="O205" s="138"/>
      <c r="P205" s="138"/>
    </row>
    <row r="206" spans="2:16" ht="12.75">
      <c r="B206" s="136"/>
      <c r="C206" s="136"/>
      <c r="D206" s="136"/>
      <c r="E206" s="136"/>
      <c r="F206" s="136"/>
      <c r="G206" s="136"/>
      <c r="H206" s="136"/>
      <c r="I206" s="138"/>
      <c r="J206" s="138"/>
      <c r="K206" s="138"/>
      <c r="L206" s="138"/>
      <c r="M206" s="138"/>
      <c r="N206" s="138"/>
      <c r="O206" s="138"/>
      <c r="P206" s="138"/>
    </row>
    <row r="207" spans="2:16" ht="12.75">
      <c r="B207" s="136"/>
      <c r="C207" s="136"/>
      <c r="D207" s="136"/>
      <c r="E207" s="136"/>
      <c r="F207" s="136"/>
      <c r="G207" s="136"/>
      <c r="H207" s="136"/>
      <c r="I207" s="138"/>
      <c r="J207" s="138"/>
      <c r="K207" s="138"/>
      <c r="L207" s="138"/>
      <c r="M207" s="138"/>
      <c r="N207" s="138"/>
      <c r="O207" s="138"/>
      <c r="P207" s="138"/>
    </row>
    <row r="208" spans="2:16" ht="12.75">
      <c r="B208" s="136"/>
      <c r="C208" s="136"/>
      <c r="D208" s="136"/>
      <c r="E208" s="136"/>
      <c r="F208" s="136"/>
      <c r="G208" s="136"/>
      <c r="H208" s="136"/>
      <c r="I208" s="138"/>
      <c r="J208" s="138"/>
      <c r="K208" s="138"/>
      <c r="L208" s="138"/>
      <c r="M208" s="138"/>
      <c r="N208" s="138"/>
      <c r="O208" s="138"/>
      <c r="P208" s="138"/>
    </row>
    <row r="209" spans="2:16" ht="12.75">
      <c r="B209" s="136"/>
      <c r="C209" s="136"/>
      <c r="D209" s="136"/>
      <c r="E209" s="136"/>
      <c r="F209" s="136"/>
      <c r="G209" s="136"/>
      <c r="H209" s="136"/>
      <c r="I209" s="138"/>
      <c r="J209" s="138"/>
      <c r="K209" s="138"/>
      <c r="L209" s="138"/>
      <c r="M209" s="138"/>
      <c r="N209" s="138"/>
      <c r="O209" s="138"/>
      <c r="P209" s="138"/>
    </row>
    <row r="210" spans="2:16" ht="12.75">
      <c r="B210" s="136"/>
      <c r="C210" s="136"/>
      <c r="D210" s="136"/>
      <c r="E210" s="136"/>
      <c r="F210" s="136"/>
      <c r="G210" s="136"/>
      <c r="H210" s="136"/>
      <c r="I210" s="138"/>
      <c r="J210" s="138"/>
      <c r="K210" s="138"/>
      <c r="L210" s="138"/>
      <c r="M210" s="138"/>
      <c r="N210" s="138"/>
      <c r="O210" s="138"/>
      <c r="P210" s="138"/>
    </row>
    <row r="211" spans="2:16" ht="12.75">
      <c r="B211" s="136"/>
      <c r="C211" s="136"/>
      <c r="D211" s="136"/>
      <c r="E211" s="136"/>
      <c r="F211" s="136"/>
      <c r="G211" s="136"/>
      <c r="H211" s="136"/>
      <c r="I211" s="138"/>
      <c r="J211" s="138"/>
      <c r="K211" s="138"/>
      <c r="L211" s="138"/>
      <c r="M211" s="138"/>
      <c r="N211" s="138"/>
      <c r="O211" s="138"/>
      <c r="P211" s="138"/>
    </row>
    <row r="212" spans="2:16" ht="12.75">
      <c r="B212" s="136"/>
      <c r="C212" s="136"/>
      <c r="D212" s="136"/>
      <c r="E212" s="136"/>
      <c r="F212" s="136"/>
      <c r="G212" s="136"/>
      <c r="H212" s="136"/>
      <c r="I212" s="138"/>
      <c r="J212" s="138"/>
      <c r="K212" s="138"/>
      <c r="L212" s="138"/>
      <c r="M212" s="138"/>
      <c r="N212" s="138"/>
      <c r="O212" s="138"/>
      <c r="P212" s="138"/>
    </row>
    <row r="213" spans="2:16" ht="12.75">
      <c r="B213" s="136"/>
      <c r="C213" s="136"/>
      <c r="D213" s="136"/>
      <c r="E213" s="136"/>
      <c r="F213" s="136"/>
      <c r="G213" s="136"/>
      <c r="H213" s="136"/>
      <c r="I213" s="138"/>
      <c r="J213" s="138"/>
      <c r="K213" s="138"/>
      <c r="L213" s="138"/>
      <c r="M213" s="138"/>
      <c r="N213" s="138"/>
      <c r="O213" s="138"/>
      <c r="P213" s="138"/>
    </row>
    <row r="214" spans="2:16" ht="12.75">
      <c r="B214" s="136"/>
      <c r="C214" s="136"/>
      <c r="D214" s="136"/>
      <c r="E214" s="136"/>
      <c r="F214" s="136"/>
      <c r="G214" s="136"/>
      <c r="H214" s="136"/>
      <c r="I214" s="138"/>
      <c r="J214" s="138"/>
      <c r="K214" s="138"/>
      <c r="L214" s="138"/>
      <c r="M214" s="138"/>
      <c r="N214" s="138"/>
      <c r="O214" s="138"/>
      <c r="P214" s="138"/>
    </row>
    <row r="215" spans="2:16" ht="12.75">
      <c r="B215" s="136"/>
      <c r="C215" s="136"/>
      <c r="D215" s="136"/>
      <c r="E215" s="136"/>
      <c r="F215" s="136"/>
      <c r="G215" s="136"/>
      <c r="H215" s="136"/>
      <c r="I215" s="138"/>
      <c r="J215" s="138"/>
      <c r="K215" s="138"/>
      <c r="L215" s="138"/>
      <c r="M215" s="138"/>
      <c r="N215" s="138"/>
      <c r="O215" s="138"/>
      <c r="P215" s="138"/>
    </row>
    <row r="216" spans="2:16" ht="12.75">
      <c r="B216" s="136"/>
      <c r="C216" s="136"/>
      <c r="D216" s="136"/>
      <c r="E216" s="136"/>
      <c r="F216" s="136"/>
      <c r="G216" s="136"/>
      <c r="H216" s="136"/>
      <c r="I216" s="138"/>
      <c r="J216" s="138"/>
      <c r="K216" s="138"/>
      <c r="L216" s="138"/>
      <c r="M216" s="138"/>
      <c r="N216" s="138"/>
      <c r="O216" s="138"/>
      <c r="P216" s="138"/>
    </row>
    <row r="217" spans="2:16" ht="12.75">
      <c r="B217" s="136"/>
      <c r="C217" s="136"/>
      <c r="D217" s="136"/>
      <c r="E217" s="136"/>
      <c r="F217" s="136"/>
      <c r="G217" s="136"/>
      <c r="H217" s="136"/>
      <c r="I217" s="138"/>
      <c r="J217" s="138"/>
      <c r="K217" s="138"/>
      <c r="L217" s="138"/>
      <c r="M217" s="138"/>
      <c r="N217" s="138"/>
      <c r="O217" s="138"/>
      <c r="P217" s="138"/>
    </row>
    <row r="218" spans="2:16" ht="12.75">
      <c r="B218" s="136"/>
      <c r="C218" s="136"/>
      <c r="D218" s="136"/>
      <c r="E218" s="136"/>
      <c r="F218" s="136"/>
      <c r="G218" s="136"/>
      <c r="H218" s="136"/>
      <c r="I218" s="138"/>
      <c r="J218" s="138"/>
      <c r="K218" s="138"/>
      <c r="L218" s="138"/>
      <c r="M218" s="138"/>
      <c r="N218" s="138"/>
      <c r="O218" s="138"/>
      <c r="P218" s="138"/>
    </row>
    <row r="219" spans="2:16" ht="12.75">
      <c r="B219" s="136"/>
      <c r="C219" s="136"/>
      <c r="D219" s="136"/>
      <c r="E219" s="136"/>
      <c r="F219" s="136"/>
      <c r="G219" s="136"/>
      <c r="H219" s="136"/>
      <c r="I219" s="138"/>
      <c r="J219" s="138"/>
      <c r="K219" s="138"/>
      <c r="L219" s="138"/>
      <c r="M219" s="138"/>
      <c r="N219" s="138"/>
      <c r="O219" s="138"/>
      <c r="P219" s="138"/>
    </row>
    <row r="220" spans="2:16" ht="12.75">
      <c r="B220" s="136"/>
      <c r="C220" s="136"/>
      <c r="D220" s="136"/>
      <c r="E220" s="136"/>
      <c r="F220" s="136"/>
      <c r="G220" s="136"/>
      <c r="H220" s="136"/>
      <c r="I220" s="138"/>
      <c r="J220" s="138"/>
      <c r="K220" s="138"/>
      <c r="L220" s="138"/>
      <c r="M220" s="138"/>
      <c r="N220" s="138"/>
      <c r="O220" s="138"/>
      <c r="P220" s="138"/>
    </row>
    <row r="221" spans="2:16" ht="12.75">
      <c r="B221" s="136"/>
      <c r="C221" s="136"/>
      <c r="D221" s="136"/>
      <c r="E221" s="136"/>
      <c r="F221" s="136"/>
      <c r="G221" s="136"/>
      <c r="H221" s="136"/>
      <c r="I221" s="138"/>
      <c r="J221" s="138"/>
      <c r="K221" s="138"/>
      <c r="L221" s="138"/>
      <c r="M221" s="138"/>
      <c r="N221" s="138"/>
      <c r="O221" s="138"/>
      <c r="P221" s="138"/>
    </row>
    <row r="222" spans="2:16" ht="12.75">
      <c r="B222" s="136"/>
      <c r="C222" s="136"/>
      <c r="D222" s="136"/>
      <c r="E222" s="136"/>
      <c r="F222" s="136"/>
      <c r="G222" s="136"/>
      <c r="H222" s="136"/>
      <c r="I222" s="138"/>
      <c r="J222" s="138"/>
      <c r="K222" s="138"/>
      <c r="L222" s="138"/>
      <c r="M222" s="138"/>
      <c r="N222" s="138"/>
      <c r="O222" s="138"/>
      <c r="P222" s="138"/>
    </row>
    <row r="223" spans="2:16" ht="12.75">
      <c r="B223" s="136"/>
      <c r="C223" s="136"/>
      <c r="D223" s="136"/>
      <c r="E223" s="136"/>
      <c r="F223" s="136"/>
      <c r="G223" s="136"/>
      <c r="H223" s="136"/>
      <c r="I223" s="138"/>
      <c r="J223" s="138"/>
      <c r="K223" s="138"/>
      <c r="L223" s="138"/>
      <c r="M223" s="138"/>
      <c r="N223" s="138"/>
      <c r="O223" s="138"/>
      <c r="P223" s="138"/>
    </row>
    <row r="224" spans="2:16" ht="12.75">
      <c r="B224" s="136"/>
      <c r="C224" s="136"/>
      <c r="D224" s="136"/>
      <c r="E224" s="136"/>
      <c r="F224" s="136"/>
      <c r="G224" s="136"/>
      <c r="H224" s="136"/>
      <c r="I224" s="138"/>
      <c r="J224" s="138"/>
      <c r="K224" s="138"/>
      <c r="L224" s="138"/>
      <c r="M224" s="138"/>
      <c r="N224" s="138"/>
      <c r="O224" s="138"/>
      <c r="P224" s="138"/>
    </row>
    <row r="225" spans="2:16" ht="12.75">
      <c r="B225" s="136"/>
      <c r="C225" s="136"/>
      <c r="D225" s="136"/>
      <c r="E225" s="136"/>
      <c r="F225" s="136"/>
      <c r="G225" s="136"/>
      <c r="H225" s="136"/>
      <c r="I225" s="138"/>
      <c r="J225" s="138"/>
      <c r="K225" s="138"/>
      <c r="L225" s="138"/>
      <c r="M225" s="138"/>
      <c r="N225" s="138"/>
      <c r="O225" s="138"/>
      <c r="P225" s="138"/>
    </row>
    <row r="226" spans="2:16" ht="12.75">
      <c r="B226" s="136"/>
      <c r="C226" s="136"/>
      <c r="D226" s="136"/>
      <c r="E226" s="136"/>
      <c r="F226" s="136"/>
      <c r="G226" s="136"/>
      <c r="H226" s="136"/>
      <c r="I226" s="138"/>
      <c r="J226" s="138"/>
      <c r="K226" s="138"/>
      <c r="L226" s="138"/>
      <c r="M226" s="138"/>
      <c r="N226" s="138"/>
      <c r="O226" s="138"/>
      <c r="P226" s="138"/>
    </row>
    <row r="227" spans="2:16" ht="12.75">
      <c r="B227" s="136"/>
      <c r="C227" s="136"/>
      <c r="D227" s="136"/>
      <c r="E227" s="136"/>
      <c r="F227" s="136"/>
      <c r="G227" s="136"/>
      <c r="H227" s="136"/>
      <c r="I227" s="138"/>
      <c r="J227" s="138"/>
      <c r="K227" s="138"/>
      <c r="L227" s="138"/>
      <c r="M227" s="138"/>
      <c r="N227" s="138"/>
      <c r="O227" s="138"/>
      <c r="P227" s="138"/>
    </row>
    <row r="228" spans="2:16" ht="12.75">
      <c r="B228" s="136"/>
      <c r="C228" s="136"/>
      <c r="D228" s="136"/>
      <c r="E228" s="136"/>
      <c r="F228" s="136"/>
      <c r="G228" s="136"/>
      <c r="H228" s="136"/>
      <c r="I228" s="138"/>
      <c r="J228" s="138"/>
      <c r="K228" s="138"/>
      <c r="L228" s="138"/>
      <c r="M228" s="138"/>
      <c r="N228" s="138"/>
      <c r="O228" s="138"/>
      <c r="P228" s="138"/>
    </row>
    <row r="229" spans="2:16" ht="12.75">
      <c r="B229" s="136"/>
      <c r="C229" s="136"/>
      <c r="D229" s="136"/>
      <c r="E229" s="136"/>
      <c r="F229" s="136"/>
      <c r="G229" s="136"/>
      <c r="H229" s="136"/>
      <c r="I229" s="138"/>
      <c r="J229" s="138"/>
      <c r="K229" s="138"/>
      <c r="L229" s="138"/>
      <c r="M229" s="138"/>
      <c r="N229" s="138"/>
      <c r="O229" s="138"/>
      <c r="P229" s="138"/>
    </row>
    <row r="230" spans="2:16" ht="12.75">
      <c r="B230" s="136"/>
      <c r="C230" s="136"/>
      <c r="D230" s="136"/>
      <c r="E230" s="136"/>
      <c r="F230" s="136"/>
      <c r="G230" s="136"/>
      <c r="H230" s="136"/>
      <c r="I230" s="138"/>
      <c r="J230" s="138"/>
      <c r="K230" s="138"/>
      <c r="L230" s="138"/>
      <c r="M230" s="138"/>
      <c r="N230" s="138"/>
      <c r="O230" s="138"/>
      <c r="P230" s="138"/>
    </row>
    <row r="231" spans="2:16" ht="12.75">
      <c r="B231" s="136"/>
      <c r="C231" s="136"/>
      <c r="D231" s="136"/>
      <c r="E231" s="136"/>
      <c r="F231" s="136"/>
      <c r="G231" s="136"/>
      <c r="H231" s="136"/>
      <c r="I231" s="138"/>
      <c r="J231" s="138"/>
      <c r="K231" s="138"/>
      <c r="L231" s="138"/>
      <c r="M231" s="138"/>
      <c r="N231" s="138"/>
      <c r="O231" s="138"/>
      <c r="P231" s="138"/>
    </row>
    <row r="232" spans="2:16" ht="12.75">
      <c r="B232" s="136"/>
      <c r="C232" s="136"/>
      <c r="D232" s="136"/>
      <c r="E232" s="136"/>
      <c r="F232" s="136"/>
      <c r="G232" s="136"/>
      <c r="H232" s="136"/>
      <c r="I232" s="138"/>
      <c r="J232" s="138"/>
      <c r="K232" s="138"/>
      <c r="L232" s="138"/>
      <c r="M232" s="138"/>
      <c r="N232" s="138"/>
      <c r="O232" s="138"/>
      <c r="P232" s="138"/>
    </row>
    <row r="233" spans="2:16" ht="12.75">
      <c r="B233" s="136"/>
      <c r="C233" s="136"/>
      <c r="D233" s="136"/>
      <c r="E233" s="136"/>
      <c r="F233" s="136"/>
      <c r="G233" s="136"/>
      <c r="H233" s="136"/>
      <c r="I233" s="138"/>
      <c r="J233" s="138"/>
      <c r="K233" s="138"/>
      <c r="L233" s="138"/>
      <c r="M233" s="138"/>
      <c r="N233" s="138"/>
      <c r="O233" s="138"/>
      <c r="P233" s="138"/>
    </row>
    <row r="234" spans="2:16" ht="12.75">
      <c r="B234" s="136"/>
      <c r="C234" s="136"/>
      <c r="D234" s="136"/>
      <c r="E234" s="136"/>
      <c r="F234" s="136"/>
      <c r="G234" s="136"/>
      <c r="H234" s="136"/>
      <c r="I234" s="138"/>
      <c r="J234" s="138"/>
      <c r="K234" s="138"/>
      <c r="L234" s="138"/>
      <c r="M234" s="138"/>
      <c r="N234" s="138"/>
      <c r="O234" s="138"/>
      <c r="P234" s="138"/>
    </row>
    <row r="235" spans="2:16" ht="12.75">
      <c r="B235" s="136"/>
      <c r="C235" s="136"/>
      <c r="D235" s="136"/>
      <c r="E235" s="136"/>
      <c r="F235" s="136"/>
      <c r="G235" s="136"/>
      <c r="H235" s="136"/>
      <c r="I235" s="138"/>
      <c r="J235" s="138"/>
      <c r="K235" s="138"/>
      <c r="L235" s="138"/>
      <c r="M235" s="138"/>
      <c r="N235" s="138"/>
      <c r="O235" s="138"/>
      <c r="P235" s="138"/>
    </row>
    <row r="236" spans="2:16" ht="12.75">
      <c r="B236" s="136"/>
      <c r="C236" s="136"/>
      <c r="D236" s="136"/>
      <c r="E236" s="136"/>
      <c r="F236" s="136"/>
      <c r="G236" s="136"/>
      <c r="H236" s="136"/>
      <c r="I236" s="138"/>
      <c r="J236" s="138"/>
      <c r="K236" s="138"/>
      <c r="L236" s="138"/>
      <c r="M236" s="138"/>
      <c r="N236" s="138"/>
      <c r="O236" s="138"/>
      <c r="P236" s="138"/>
    </row>
    <row r="237" spans="2:16" ht="12.75">
      <c r="B237" s="136"/>
      <c r="C237" s="136"/>
      <c r="D237" s="136"/>
      <c r="E237" s="136"/>
      <c r="F237" s="136"/>
      <c r="G237" s="136"/>
      <c r="H237" s="136"/>
      <c r="I237" s="138"/>
      <c r="J237" s="138"/>
      <c r="K237" s="138"/>
      <c r="L237" s="138"/>
      <c r="M237" s="138"/>
      <c r="N237" s="138"/>
      <c r="O237" s="138"/>
      <c r="P237" s="138"/>
    </row>
    <row r="238" spans="2:16" ht="12.75">
      <c r="B238" s="136"/>
      <c r="C238" s="136"/>
      <c r="D238" s="136"/>
      <c r="E238" s="136"/>
      <c r="F238" s="136"/>
      <c r="G238" s="136"/>
      <c r="H238" s="136"/>
      <c r="I238" s="138"/>
      <c r="J238" s="138"/>
      <c r="K238" s="138"/>
      <c r="L238" s="138"/>
      <c r="M238" s="138"/>
      <c r="N238" s="138"/>
      <c r="O238" s="138"/>
      <c r="P238" s="138"/>
    </row>
    <row r="239" spans="2:16" ht="12.75">
      <c r="B239" s="136"/>
      <c r="C239" s="136"/>
      <c r="D239" s="136"/>
      <c r="E239" s="136"/>
      <c r="F239" s="136"/>
      <c r="G239" s="136"/>
      <c r="H239" s="136"/>
      <c r="I239" s="138"/>
      <c r="J239" s="138"/>
      <c r="K239" s="138"/>
      <c r="L239" s="138"/>
      <c r="M239" s="138"/>
      <c r="N239" s="138"/>
      <c r="O239" s="138"/>
      <c r="P239" s="138"/>
    </row>
    <row r="240" spans="2:16" ht="12.75">
      <c r="B240" s="136"/>
      <c r="C240" s="136"/>
      <c r="D240" s="136"/>
      <c r="E240" s="136"/>
      <c r="F240" s="136"/>
      <c r="G240" s="136"/>
      <c r="H240" s="136"/>
      <c r="I240" s="138"/>
      <c r="J240" s="138"/>
      <c r="K240" s="138"/>
      <c r="L240" s="138"/>
      <c r="M240" s="138"/>
      <c r="N240" s="138"/>
      <c r="O240" s="138"/>
      <c r="P240" s="138"/>
    </row>
    <row r="241" spans="2:16" ht="12.75">
      <c r="B241" s="136"/>
      <c r="C241" s="136"/>
      <c r="D241" s="136"/>
      <c r="E241" s="136"/>
      <c r="F241" s="136"/>
      <c r="G241" s="136"/>
      <c r="H241" s="136"/>
      <c r="I241" s="138"/>
      <c r="J241" s="138"/>
      <c r="K241" s="138"/>
      <c r="L241" s="138"/>
      <c r="M241" s="138"/>
      <c r="N241" s="138"/>
      <c r="O241" s="138"/>
      <c r="P241" s="138"/>
    </row>
    <row r="242" spans="2:16" ht="12.75">
      <c r="B242" s="136"/>
      <c r="C242" s="136"/>
      <c r="D242" s="136"/>
      <c r="E242" s="136"/>
      <c r="F242" s="136"/>
      <c r="G242" s="136"/>
      <c r="H242" s="136"/>
      <c r="I242" s="138"/>
      <c r="J242" s="138"/>
      <c r="K242" s="138"/>
      <c r="L242" s="138"/>
      <c r="M242" s="138"/>
      <c r="N242" s="138"/>
      <c r="O242" s="138"/>
      <c r="P242" s="138"/>
    </row>
    <row r="243" spans="2:16" ht="12.75">
      <c r="B243" s="136"/>
      <c r="C243" s="136"/>
      <c r="D243" s="136"/>
      <c r="E243" s="136"/>
      <c r="F243" s="136"/>
      <c r="G243" s="136"/>
      <c r="H243" s="136"/>
      <c r="I243" s="138"/>
      <c r="J243" s="138"/>
      <c r="K243" s="138"/>
      <c r="L243" s="138"/>
      <c r="M243" s="138"/>
      <c r="N243" s="138"/>
      <c r="O243" s="138"/>
      <c r="P243" s="138"/>
    </row>
    <row r="244" spans="2:16" ht="12.75">
      <c r="B244" s="138"/>
      <c r="C244" s="138"/>
      <c r="D244" s="138"/>
      <c r="E244" s="138"/>
      <c r="F244" s="138"/>
      <c r="G244" s="138"/>
      <c r="H244" s="138"/>
      <c r="I244" s="138"/>
      <c r="J244" s="138"/>
      <c r="K244" s="138"/>
      <c r="L244" s="138"/>
      <c r="M244" s="138"/>
      <c r="N244" s="138"/>
      <c r="O244" s="138"/>
      <c r="P244" s="138"/>
    </row>
    <row r="245" spans="2:16" ht="12.75">
      <c r="B245" s="138"/>
      <c r="C245" s="138"/>
      <c r="D245" s="138"/>
      <c r="E245" s="138"/>
      <c r="F245" s="138"/>
      <c r="G245" s="138"/>
      <c r="H245" s="138"/>
      <c r="I245" s="138"/>
      <c r="J245" s="138"/>
      <c r="K245" s="138"/>
      <c r="L245" s="138"/>
      <c r="M245" s="138"/>
      <c r="N245" s="138"/>
      <c r="O245" s="138"/>
      <c r="P245" s="138"/>
    </row>
    <row r="246" spans="2:16" ht="12.75">
      <c r="B246" s="138"/>
      <c r="C246" s="138"/>
      <c r="D246" s="138"/>
      <c r="E246" s="138"/>
      <c r="F246" s="138"/>
      <c r="G246" s="138"/>
      <c r="H246" s="138"/>
      <c r="I246" s="138"/>
      <c r="J246" s="138"/>
      <c r="K246" s="138"/>
      <c r="L246" s="138"/>
      <c r="M246" s="138"/>
      <c r="N246" s="138"/>
      <c r="O246" s="138"/>
      <c r="P246" s="138"/>
    </row>
    <row r="247" spans="2:16" ht="12.75">
      <c r="B247" s="138"/>
      <c r="C247" s="138"/>
      <c r="D247" s="138"/>
      <c r="E247" s="138"/>
      <c r="F247" s="138"/>
      <c r="G247" s="138"/>
      <c r="H247" s="138"/>
      <c r="I247" s="138"/>
      <c r="J247" s="138"/>
      <c r="K247" s="138"/>
      <c r="L247" s="138"/>
      <c r="M247" s="138"/>
      <c r="N247" s="138"/>
      <c r="O247" s="138"/>
      <c r="P247" s="138"/>
    </row>
    <row r="248" spans="2:16" ht="12.75"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</row>
    <row r="249" spans="2:16" ht="12.75">
      <c r="B249" s="138"/>
      <c r="C249" s="138"/>
      <c r="D249" s="138"/>
      <c r="E249" s="138"/>
      <c r="F249" s="138"/>
      <c r="G249" s="138"/>
      <c r="H249" s="138"/>
      <c r="I249" s="138"/>
      <c r="J249" s="138"/>
      <c r="K249" s="138"/>
      <c r="L249" s="138"/>
      <c r="M249" s="138"/>
      <c r="N249" s="138"/>
      <c r="O249" s="138"/>
      <c r="P249" s="138"/>
    </row>
    <row r="250" spans="2:16" ht="12.75">
      <c r="B250" s="138"/>
      <c r="C250" s="138"/>
      <c r="D250" s="138"/>
      <c r="E250" s="138"/>
      <c r="F250" s="138"/>
      <c r="G250" s="138"/>
      <c r="H250" s="138"/>
      <c r="I250" s="138"/>
      <c r="J250" s="138"/>
      <c r="K250" s="138"/>
      <c r="L250" s="138"/>
      <c r="M250" s="138"/>
      <c r="N250" s="138"/>
      <c r="O250" s="138"/>
      <c r="P250" s="138"/>
    </row>
    <row r="251" spans="2:16" ht="12.75">
      <c r="B251" s="138"/>
      <c r="C251" s="138"/>
      <c r="D251" s="138"/>
      <c r="E251" s="138"/>
      <c r="F251" s="138"/>
      <c r="G251" s="138"/>
      <c r="H251" s="138"/>
      <c r="I251" s="138"/>
      <c r="J251" s="138"/>
      <c r="K251" s="138"/>
      <c r="L251" s="138"/>
      <c r="M251" s="138"/>
      <c r="N251" s="138"/>
      <c r="O251" s="138"/>
      <c r="P251" s="138"/>
    </row>
    <row r="252" spans="2:16" ht="12.75">
      <c r="B252" s="138"/>
      <c r="C252" s="138"/>
      <c r="D252" s="138"/>
      <c r="E252" s="138"/>
      <c r="F252" s="138"/>
      <c r="G252" s="138"/>
      <c r="H252" s="138"/>
      <c r="I252" s="138"/>
      <c r="J252" s="138"/>
      <c r="K252" s="138"/>
      <c r="L252" s="138"/>
      <c r="M252" s="138"/>
      <c r="N252" s="138"/>
      <c r="O252" s="138"/>
      <c r="P252" s="138"/>
    </row>
    <row r="253" spans="2:16" ht="12.75">
      <c r="B253" s="138"/>
      <c r="C253" s="138"/>
      <c r="D253" s="138"/>
      <c r="E253" s="138"/>
      <c r="F253" s="138"/>
      <c r="G253" s="138"/>
      <c r="H253" s="138"/>
      <c r="I253" s="138"/>
      <c r="J253" s="138"/>
      <c r="K253" s="138"/>
      <c r="L253" s="138"/>
      <c r="M253" s="138"/>
      <c r="N253" s="138"/>
      <c r="O253" s="138"/>
      <c r="P253" s="138"/>
    </row>
    <row r="254" spans="2:16" ht="12.75">
      <c r="B254" s="138"/>
      <c r="C254" s="138"/>
      <c r="D254" s="138"/>
      <c r="E254" s="138"/>
      <c r="F254" s="138"/>
      <c r="G254" s="138"/>
      <c r="H254" s="138"/>
      <c r="I254" s="138"/>
      <c r="J254" s="138"/>
      <c r="K254" s="138"/>
      <c r="L254" s="138"/>
      <c r="M254" s="138"/>
      <c r="N254" s="138"/>
      <c r="O254" s="138"/>
      <c r="P254" s="138"/>
    </row>
    <row r="255" spans="2:16" ht="12.75">
      <c r="B255" s="138"/>
      <c r="C255" s="138"/>
      <c r="D255" s="138"/>
      <c r="E255" s="138"/>
      <c r="F255" s="138"/>
      <c r="G255" s="138"/>
      <c r="H255" s="138"/>
      <c r="I255" s="138"/>
      <c r="J255" s="138"/>
      <c r="K255" s="138"/>
      <c r="L255" s="138"/>
      <c r="M255" s="138"/>
      <c r="N255" s="138"/>
      <c r="O255" s="138"/>
      <c r="P255" s="138"/>
    </row>
    <row r="256" spans="2:16" ht="12.75">
      <c r="B256" s="138"/>
      <c r="C256" s="138"/>
      <c r="D256" s="138"/>
      <c r="E256" s="138"/>
      <c r="F256" s="138"/>
      <c r="G256" s="138"/>
      <c r="H256" s="138"/>
      <c r="I256" s="138"/>
      <c r="J256" s="138"/>
      <c r="K256" s="138"/>
      <c r="L256" s="138"/>
      <c r="M256" s="138"/>
      <c r="N256" s="138"/>
      <c r="O256" s="138"/>
      <c r="P256" s="138"/>
    </row>
    <row r="257" spans="2:16" ht="12.75">
      <c r="B257" s="138"/>
      <c r="C257" s="138"/>
      <c r="D257" s="138"/>
      <c r="E257" s="138"/>
      <c r="F257" s="138"/>
      <c r="G257" s="138"/>
      <c r="H257" s="138"/>
      <c r="I257" s="138"/>
      <c r="J257" s="138"/>
      <c r="K257" s="138"/>
      <c r="L257" s="138"/>
      <c r="M257" s="138"/>
      <c r="N257" s="138"/>
      <c r="O257" s="138"/>
      <c r="P257" s="138"/>
    </row>
    <row r="258" spans="2:16" ht="12.75">
      <c r="B258" s="138"/>
      <c r="C258" s="138"/>
      <c r="D258" s="138"/>
      <c r="E258" s="138"/>
      <c r="F258" s="138"/>
      <c r="G258" s="138"/>
      <c r="H258" s="138"/>
      <c r="I258" s="138"/>
      <c r="J258" s="138"/>
      <c r="K258" s="138"/>
      <c r="L258" s="138"/>
      <c r="M258" s="138"/>
      <c r="N258" s="138"/>
      <c r="O258" s="138"/>
      <c r="P258" s="138"/>
    </row>
    <row r="259" spans="2:16" ht="12.75">
      <c r="B259" s="138"/>
      <c r="C259" s="138"/>
      <c r="D259" s="138"/>
      <c r="E259" s="138"/>
      <c r="F259" s="138"/>
      <c r="G259" s="138"/>
      <c r="H259" s="138"/>
      <c r="I259" s="138"/>
      <c r="J259" s="138"/>
      <c r="K259" s="138"/>
      <c r="L259" s="138"/>
      <c r="M259" s="138"/>
      <c r="N259" s="138"/>
      <c r="O259" s="138"/>
      <c r="P259" s="138"/>
    </row>
    <row r="260" spans="2:16" ht="12.75">
      <c r="B260" s="138"/>
      <c r="C260" s="138"/>
      <c r="D260" s="138"/>
      <c r="E260" s="138"/>
      <c r="F260" s="138"/>
      <c r="G260" s="138"/>
      <c r="H260" s="138"/>
      <c r="I260" s="138"/>
      <c r="J260" s="138"/>
      <c r="K260" s="138"/>
      <c r="L260" s="138"/>
      <c r="M260" s="138"/>
      <c r="N260" s="138"/>
      <c r="O260" s="138"/>
      <c r="P260" s="138"/>
    </row>
    <row r="261" spans="2:16" ht="12.75">
      <c r="B261" s="138"/>
      <c r="C261" s="138"/>
      <c r="D261" s="138"/>
      <c r="E261" s="138"/>
      <c r="F261" s="138"/>
      <c r="G261" s="138"/>
      <c r="H261" s="138"/>
      <c r="I261" s="138"/>
      <c r="J261" s="138"/>
      <c r="K261" s="138"/>
      <c r="L261" s="138"/>
      <c r="M261" s="138"/>
      <c r="N261" s="138"/>
      <c r="O261" s="138"/>
      <c r="P261" s="138"/>
    </row>
    <row r="262" spans="2:16" ht="12.75">
      <c r="B262" s="138"/>
      <c r="C262" s="138"/>
      <c r="D262" s="138"/>
      <c r="E262" s="138"/>
      <c r="F262" s="138"/>
      <c r="G262" s="138"/>
      <c r="H262" s="138"/>
      <c r="I262" s="138"/>
      <c r="J262" s="138"/>
      <c r="K262" s="138"/>
      <c r="L262" s="138"/>
      <c r="M262" s="138"/>
      <c r="N262" s="138"/>
      <c r="O262" s="138"/>
      <c r="P262" s="138"/>
    </row>
    <row r="263" spans="2:16" ht="12.75">
      <c r="B263" s="138"/>
      <c r="C263" s="138"/>
      <c r="D263" s="138"/>
      <c r="E263" s="138"/>
      <c r="F263" s="138"/>
      <c r="G263" s="138"/>
      <c r="H263" s="138"/>
      <c r="I263" s="138"/>
      <c r="J263" s="138"/>
      <c r="K263" s="138"/>
      <c r="L263" s="138"/>
      <c r="M263" s="138"/>
      <c r="N263" s="138"/>
      <c r="O263" s="138"/>
      <c r="P263" s="138"/>
    </row>
    <row r="264" spans="2:16" ht="12.75">
      <c r="B264" s="138"/>
      <c r="C264" s="138"/>
      <c r="D264" s="138"/>
      <c r="E264" s="138"/>
      <c r="F264" s="138"/>
      <c r="G264" s="138"/>
      <c r="H264" s="138"/>
      <c r="I264" s="138"/>
      <c r="J264" s="138"/>
      <c r="K264" s="138"/>
      <c r="L264" s="138"/>
      <c r="M264" s="138"/>
      <c r="N264" s="138"/>
      <c r="O264" s="138"/>
      <c r="P264" s="138"/>
    </row>
    <row r="265" spans="2:16" ht="12.75">
      <c r="B265" s="138"/>
      <c r="C265" s="138"/>
      <c r="D265" s="138"/>
      <c r="E265" s="138"/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  <c r="P265" s="138"/>
    </row>
    <row r="266" spans="2:16" ht="12.75">
      <c r="B266" s="138"/>
      <c r="C266" s="138"/>
      <c r="D266" s="138"/>
      <c r="E266" s="138"/>
      <c r="F266" s="138"/>
      <c r="G266" s="138"/>
      <c r="H266" s="138"/>
      <c r="I266" s="138"/>
      <c r="J266" s="138"/>
      <c r="K266" s="138"/>
      <c r="L266" s="138"/>
      <c r="M266" s="138"/>
      <c r="N266" s="138"/>
      <c r="O266" s="138"/>
      <c r="P266" s="138"/>
    </row>
    <row r="267" spans="2:16" ht="12.75">
      <c r="B267" s="138"/>
      <c r="C267" s="138"/>
      <c r="D267" s="138"/>
      <c r="E267" s="138"/>
      <c r="F267" s="138"/>
      <c r="G267" s="138"/>
      <c r="H267" s="138"/>
      <c r="I267" s="138"/>
      <c r="J267" s="138"/>
      <c r="K267" s="138"/>
      <c r="L267" s="138"/>
      <c r="M267" s="138"/>
      <c r="N267" s="138"/>
      <c r="O267" s="138"/>
      <c r="P267" s="138"/>
    </row>
    <row r="268" spans="2:16" ht="12.75">
      <c r="B268" s="138"/>
      <c r="C268" s="138"/>
      <c r="D268" s="138"/>
      <c r="E268" s="138"/>
      <c r="F268" s="138"/>
      <c r="G268" s="138"/>
      <c r="H268" s="138"/>
      <c r="I268" s="138"/>
      <c r="J268" s="138"/>
      <c r="K268" s="138"/>
      <c r="L268" s="138"/>
      <c r="M268" s="138"/>
      <c r="N268" s="138"/>
      <c r="O268" s="138"/>
      <c r="P268" s="138"/>
    </row>
    <row r="269" spans="2:16" ht="12.75">
      <c r="B269" s="138"/>
      <c r="C269" s="138"/>
      <c r="D269" s="138"/>
      <c r="E269" s="138"/>
      <c r="F269" s="138"/>
      <c r="G269" s="138"/>
      <c r="H269" s="138"/>
      <c r="I269" s="138"/>
      <c r="J269" s="138"/>
      <c r="K269" s="138"/>
      <c r="L269" s="138"/>
      <c r="M269" s="138"/>
      <c r="N269" s="138"/>
      <c r="O269" s="138"/>
      <c r="P269" s="138"/>
    </row>
    <row r="270" spans="2:16" ht="12.75">
      <c r="B270" s="138"/>
      <c r="C270" s="138"/>
      <c r="D270" s="138"/>
      <c r="E270" s="138"/>
      <c r="F270" s="138"/>
      <c r="G270" s="138"/>
      <c r="H270" s="138"/>
      <c r="I270" s="138"/>
      <c r="J270" s="138"/>
      <c r="K270" s="138"/>
      <c r="L270" s="138"/>
      <c r="M270" s="138"/>
      <c r="N270" s="138"/>
      <c r="O270" s="138"/>
      <c r="P270" s="138"/>
    </row>
    <row r="271" spans="2:16" ht="12.75">
      <c r="B271" s="138"/>
      <c r="C271" s="138"/>
      <c r="D271" s="138"/>
      <c r="E271" s="138"/>
      <c r="F271" s="138"/>
      <c r="G271" s="138"/>
      <c r="H271" s="138"/>
      <c r="I271" s="138"/>
      <c r="J271" s="138"/>
      <c r="K271" s="138"/>
      <c r="L271" s="138"/>
      <c r="M271" s="138"/>
      <c r="N271" s="138"/>
      <c r="O271" s="138"/>
      <c r="P271" s="138"/>
    </row>
    <row r="272" spans="2:16" ht="12.75">
      <c r="B272" s="138"/>
      <c r="C272" s="138"/>
      <c r="D272" s="138"/>
      <c r="E272" s="138"/>
      <c r="F272" s="138"/>
      <c r="G272" s="138"/>
      <c r="H272" s="138"/>
      <c r="I272" s="138"/>
      <c r="J272" s="138"/>
      <c r="K272" s="138"/>
      <c r="L272" s="138"/>
      <c r="M272" s="138"/>
      <c r="N272" s="138"/>
      <c r="O272" s="138"/>
      <c r="P272" s="138"/>
    </row>
    <row r="273" spans="2:16" ht="12.75">
      <c r="B273" s="138"/>
      <c r="C273" s="138"/>
      <c r="D273" s="138"/>
      <c r="E273" s="138"/>
      <c r="F273" s="138"/>
      <c r="G273" s="138"/>
      <c r="H273" s="138"/>
      <c r="I273" s="138"/>
      <c r="J273" s="138"/>
      <c r="K273" s="138"/>
      <c r="L273" s="138"/>
      <c r="M273" s="138"/>
      <c r="N273" s="138"/>
      <c r="O273" s="138"/>
      <c r="P273" s="138"/>
    </row>
    <row r="274" spans="2:16" ht="12.75">
      <c r="B274" s="138"/>
      <c r="C274" s="138"/>
      <c r="D274" s="138"/>
      <c r="E274" s="138"/>
      <c r="F274" s="138"/>
      <c r="G274" s="138"/>
      <c r="H274" s="138"/>
      <c r="I274" s="138"/>
      <c r="J274" s="138"/>
      <c r="K274" s="138"/>
      <c r="L274" s="138"/>
      <c r="M274" s="138"/>
      <c r="N274" s="138"/>
      <c r="O274" s="138"/>
      <c r="P274" s="138"/>
    </row>
    <row r="275" spans="2:16" ht="12.75">
      <c r="B275" s="138"/>
      <c r="C275" s="138"/>
      <c r="D275" s="138"/>
      <c r="E275" s="138"/>
      <c r="F275" s="138"/>
      <c r="G275" s="138"/>
      <c r="H275" s="138"/>
      <c r="I275" s="138"/>
      <c r="J275" s="138"/>
      <c r="K275" s="138"/>
      <c r="L275" s="138"/>
      <c r="M275" s="138"/>
      <c r="N275" s="138"/>
      <c r="O275" s="138"/>
      <c r="P275" s="138"/>
    </row>
    <row r="276" spans="2:16" ht="12.75">
      <c r="B276" s="138"/>
      <c r="C276" s="138"/>
      <c r="D276" s="138"/>
      <c r="E276" s="138"/>
      <c r="F276" s="138"/>
      <c r="G276" s="138"/>
      <c r="H276" s="138"/>
      <c r="I276" s="138"/>
      <c r="J276" s="138"/>
      <c r="K276" s="138"/>
      <c r="L276" s="138"/>
      <c r="M276" s="138"/>
      <c r="N276" s="138"/>
      <c r="O276" s="138"/>
      <c r="P276" s="138"/>
    </row>
    <row r="277" spans="2:16" ht="12.75">
      <c r="B277" s="138"/>
      <c r="C277" s="138"/>
      <c r="D277" s="138"/>
      <c r="E277" s="138"/>
      <c r="F277" s="138"/>
      <c r="G277" s="138"/>
      <c r="H277" s="138"/>
      <c r="I277" s="138"/>
      <c r="J277" s="138"/>
      <c r="K277" s="138"/>
      <c r="L277" s="138"/>
      <c r="M277" s="138"/>
      <c r="N277" s="138"/>
      <c r="O277" s="138"/>
      <c r="P277" s="138"/>
    </row>
    <row r="278" spans="2:16" ht="12.75">
      <c r="B278" s="138"/>
      <c r="C278" s="138"/>
      <c r="D278" s="138"/>
      <c r="E278" s="138"/>
      <c r="F278" s="138"/>
      <c r="G278" s="138"/>
      <c r="H278" s="138"/>
      <c r="I278" s="138"/>
      <c r="J278" s="138"/>
      <c r="K278" s="138"/>
      <c r="L278" s="138"/>
      <c r="M278" s="138"/>
      <c r="N278" s="138"/>
      <c r="O278" s="138"/>
      <c r="P278" s="138"/>
    </row>
    <row r="279" spans="2:16" ht="12.75">
      <c r="B279" s="138"/>
      <c r="C279" s="138"/>
      <c r="D279" s="138"/>
      <c r="E279" s="138"/>
      <c r="F279" s="138"/>
      <c r="G279" s="138"/>
      <c r="H279" s="138"/>
      <c r="I279" s="138"/>
      <c r="J279" s="138"/>
      <c r="K279" s="138"/>
      <c r="L279" s="138"/>
      <c r="M279" s="138"/>
      <c r="N279" s="138"/>
      <c r="O279" s="138"/>
      <c r="P279" s="138"/>
    </row>
    <row r="280" spans="2:16" ht="12.75">
      <c r="B280" s="138"/>
      <c r="C280" s="138"/>
      <c r="D280" s="138"/>
      <c r="E280" s="138"/>
      <c r="F280" s="138"/>
      <c r="G280" s="138"/>
      <c r="H280" s="138"/>
      <c r="I280" s="138"/>
      <c r="J280" s="138"/>
      <c r="K280" s="138"/>
      <c r="L280" s="138"/>
      <c r="M280" s="138"/>
      <c r="N280" s="138"/>
      <c r="O280" s="138"/>
      <c r="P280" s="138"/>
    </row>
    <row r="281" spans="2:16" ht="12.75">
      <c r="B281" s="138"/>
      <c r="C281" s="138"/>
      <c r="D281" s="138"/>
      <c r="E281" s="138"/>
      <c r="F281" s="138"/>
      <c r="G281" s="138"/>
      <c r="H281" s="138"/>
      <c r="I281" s="138"/>
      <c r="J281" s="138"/>
      <c r="K281" s="138"/>
      <c r="L281" s="138"/>
      <c r="M281" s="138"/>
      <c r="N281" s="138"/>
      <c r="O281" s="138"/>
      <c r="P281" s="138"/>
    </row>
  </sheetData>
  <sheetProtection/>
  <printOptions horizontalCentered="1"/>
  <pageMargins left="0" right="0" top="1" bottom="0" header="0.5" footer="0.5"/>
  <pageSetup blackAndWhite="1"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="65" zoomScaleNormal="65" zoomScalePageLayoutView="0" workbookViewId="0" topLeftCell="A2">
      <pane xSplit="1" ySplit="9" topLeftCell="B11" activePane="bottomRight" state="frozen"/>
      <selection pane="topLeft" activeCell="A2" sqref="A2"/>
      <selection pane="topRight" activeCell="B2" sqref="B2"/>
      <selection pane="bottomLeft" activeCell="A11" sqref="A11"/>
      <selection pane="bottomRight" activeCell="C20" sqref="C20"/>
    </sheetView>
  </sheetViews>
  <sheetFormatPr defaultColWidth="9.140625" defaultRowHeight="12.75"/>
  <cols>
    <col min="1" max="1" width="37.7109375" style="0" customWidth="1"/>
    <col min="2" max="5" width="16.140625" style="0" customWidth="1"/>
    <col min="6" max="6" width="18.28125" style="0" customWidth="1"/>
    <col min="7" max="7" width="16.8515625" style="0" customWidth="1"/>
    <col min="8" max="8" width="13.28125" style="0" customWidth="1"/>
    <col min="9" max="9" width="15.7109375" style="0" customWidth="1"/>
    <col min="10" max="10" width="18.8515625" style="0" customWidth="1"/>
    <col min="11" max="11" width="17.421875" style="0" customWidth="1"/>
    <col min="12" max="12" width="12.00390625" style="0" customWidth="1"/>
  </cols>
  <sheetData>
    <row r="1" spans="1:12" ht="23.25">
      <c r="A1" s="1" t="s">
        <v>37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2" ht="18">
      <c r="A2" s="3" t="s">
        <v>38</v>
      </c>
      <c r="B2" s="3"/>
      <c r="C2" s="3"/>
      <c r="D2" s="3"/>
      <c r="E2" s="3"/>
      <c r="F2" s="3"/>
      <c r="G2" s="2"/>
      <c r="H2" s="2"/>
      <c r="I2" s="2"/>
      <c r="J2" s="2"/>
      <c r="K2" s="2"/>
      <c r="L2" s="2"/>
    </row>
    <row r="3" spans="1:12" ht="18">
      <c r="A3" s="3" t="s">
        <v>39</v>
      </c>
      <c r="B3" s="3"/>
      <c r="C3" s="3"/>
      <c r="D3" s="3"/>
      <c r="E3" s="3"/>
      <c r="F3" s="3"/>
      <c r="G3" s="2"/>
      <c r="H3" s="2"/>
      <c r="I3" s="2"/>
      <c r="J3" s="2"/>
      <c r="K3" s="2"/>
      <c r="L3" s="2"/>
    </row>
    <row r="4" spans="1:12" ht="18.75" thickBot="1">
      <c r="A4" s="16">
        <f ca="1">NOW()</f>
        <v>41991.352715625</v>
      </c>
      <c r="B4" s="16"/>
      <c r="C4" s="16"/>
      <c r="D4" s="16"/>
      <c r="E4" s="16"/>
      <c r="F4" s="16"/>
      <c r="G4" s="4"/>
      <c r="H4" s="4"/>
      <c r="I4" s="3"/>
      <c r="J4" s="4"/>
      <c r="K4" s="4"/>
      <c r="L4" s="4"/>
    </row>
    <row r="5" spans="1:12" ht="15.75" thickBot="1">
      <c r="A5" s="6"/>
      <c r="B5" s="145" t="s">
        <v>137</v>
      </c>
      <c r="C5" s="145" t="s">
        <v>138</v>
      </c>
      <c r="D5" s="6"/>
      <c r="E5" s="6"/>
      <c r="F5" s="6"/>
      <c r="G5" s="9"/>
      <c r="H5" s="6"/>
      <c r="I5" s="6"/>
      <c r="J5" s="6"/>
      <c r="K5" s="10"/>
      <c r="L5" s="6"/>
    </row>
    <row r="6" spans="1:12" ht="15.75" thickBot="1">
      <c r="A6" s="145" t="s">
        <v>135</v>
      </c>
      <c r="B6" s="144">
        <f>Class_1_skim_Rate</f>
        <v>0</v>
      </c>
      <c r="C6" s="143">
        <f>Class_2_Skim_Rate</f>
        <v>0</v>
      </c>
      <c r="D6" s="6"/>
      <c r="E6" s="6"/>
      <c r="F6" s="6"/>
      <c r="G6" s="9"/>
      <c r="H6" s="6"/>
      <c r="I6" s="6"/>
      <c r="J6" s="6"/>
      <c r="K6" s="10"/>
      <c r="L6" s="6"/>
    </row>
    <row r="7" spans="1:12" ht="15.75" thickBot="1">
      <c r="A7" s="145" t="s">
        <v>136</v>
      </c>
      <c r="B7" s="144">
        <f>Class_1_BF_Rate</f>
        <v>0</v>
      </c>
      <c r="C7" s="143">
        <f>Class_2_BF_Rate</f>
        <v>0</v>
      </c>
      <c r="D7" s="6"/>
      <c r="E7" s="6"/>
      <c r="F7" s="6"/>
      <c r="G7" s="15"/>
      <c r="H7" s="6"/>
      <c r="I7" s="6"/>
      <c r="J7" s="11"/>
      <c r="K7" s="12"/>
      <c r="L7" s="6"/>
    </row>
    <row r="8" spans="1:12" ht="15.75" thickBot="1">
      <c r="A8" s="146"/>
      <c r="B8" s="141"/>
      <c r="C8" s="141"/>
      <c r="D8" s="6"/>
      <c r="E8" s="6"/>
      <c r="F8" s="6"/>
      <c r="G8" s="15"/>
      <c r="H8" s="6"/>
      <c r="I8" s="6"/>
      <c r="J8" s="11"/>
      <c r="K8" s="12"/>
      <c r="L8" s="6"/>
    </row>
    <row r="9" spans="1:11" ht="15">
      <c r="A9" s="6"/>
      <c r="B9" s="5" t="s">
        <v>40</v>
      </c>
      <c r="C9" s="5" t="s">
        <v>41</v>
      </c>
      <c r="D9" s="5" t="s">
        <v>42</v>
      </c>
      <c r="E9" s="5" t="s">
        <v>41</v>
      </c>
      <c r="F9" s="5" t="s">
        <v>24</v>
      </c>
      <c r="G9" s="5" t="s">
        <v>40</v>
      </c>
      <c r="H9" s="5" t="s">
        <v>43</v>
      </c>
      <c r="I9" s="5" t="s">
        <v>51</v>
      </c>
      <c r="J9" s="5" t="s">
        <v>52</v>
      </c>
      <c r="K9" s="5" t="s">
        <v>43</v>
      </c>
    </row>
    <row r="10" spans="1:11" ht="15.75" thickBot="1">
      <c r="A10" s="6"/>
      <c r="B10" s="7" t="s">
        <v>44</v>
      </c>
      <c r="C10" s="7" t="s">
        <v>44</v>
      </c>
      <c r="D10" s="7" t="s">
        <v>44</v>
      </c>
      <c r="E10" s="7" t="s">
        <v>45</v>
      </c>
      <c r="F10" s="7" t="s">
        <v>45</v>
      </c>
      <c r="G10" s="7" t="s">
        <v>45</v>
      </c>
      <c r="H10" s="7" t="s">
        <v>46</v>
      </c>
      <c r="I10" s="7" t="s">
        <v>53</v>
      </c>
      <c r="J10" s="7" t="s">
        <v>45</v>
      </c>
      <c r="K10" s="7" t="s">
        <v>46</v>
      </c>
    </row>
    <row r="11" spans="1:12" ht="15.75" thickBot="1">
      <c r="A11" s="8" t="s">
        <v>21</v>
      </c>
      <c r="B11" s="190">
        <v>79653788</v>
      </c>
      <c r="C11" s="191">
        <v>2597111</v>
      </c>
      <c r="D11" s="150">
        <f aca="true" t="shared" si="0" ref="D11:D24">(B11-C11)</f>
        <v>77056677</v>
      </c>
      <c r="E11" s="161">
        <f>ROUND($B$7*C11,0)</f>
        <v>0</v>
      </c>
      <c r="F11" s="161">
        <f>ROUND($B$6*D11/100,0)</f>
        <v>0</v>
      </c>
      <c r="G11" s="161">
        <f>(E11+F11)</f>
        <v>0</v>
      </c>
      <c r="H11" s="151">
        <f aca="true" t="shared" si="1" ref="H11:H24">ROUND(G11/B11,4)</f>
        <v>0</v>
      </c>
      <c r="I11" s="151">
        <f>INPUT!B49</f>
        <v>-0.0008</v>
      </c>
      <c r="J11" s="151">
        <f>+INPUT!B38</f>
        <v>0</v>
      </c>
      <c r="K11" s="152">
        <f aca="true" t="shared" si="2" ref="K11:K24">ROUND(SUM(H11:J11),4)</f>
        <v>-0.0008</v>
      </c>
      <c r="L11" s="142"/>
    </row>
    <row r="12" spans="1:12" ht="15.75" thickBot="1">
      <c r="A12" s="8" t="s">
        <v>47</v>
      </c>
      <c r="B12" s="192">
        <v>150546284</v>
      </c>
      <c r="C12" s="193">
        <v>2921620</v>
      </c>
      <c r="D12" s="147">
        <f t="shared" si="0"/>
        <v>147624664</v>
      </c>
      <c r="E12" s="161">
        <f aca="true" t="shared" si="3" ref="E12:E18">ROUND($B$7*C12,0)</f>
        <v>0</v>
      </c>
      <c r="F12" s="161">
        <f aca="true" t="shared" si="4" ref="F12:F18">ROUND($B$6*D12/100,0)</f>
        <v>0</v>
      </c>
      <c r="G12" s="161">
        <f aca="true" t="shared" si="5" ref="G12:G20">(E12+F12)</f>
        <v>0</v>
      </c>
      <c r="H12" s="148">
        <f t="shared" si="1"/>
        <v>0</v>
      </c>
      <c r="I12" s="151">
        <f>INPUT!B50</f>
        <v>-0.0008</v>
      </c>
      <c r="J12" s="148">
        <f>+INPUT!B39</f>
        <v>0.0001</v>
      </c>
      <c r="K12" s="149">
        <f t="shared" si="2"/>
        <v>-0.0007</v>
      </c>
      <c r="L12" s="142"/>
    </row>
    <row r="13" spans="1:12" ht="15.75" thickBot="1">
      <c r="A13" s="8" t="s">
        <v>48</v>
      </c>
      <c r="B13" s="192">
        <v>48523338</v>
      </c>
      <c r="C13" s="193">
        <v>467442</v>
      </c>
      <c r="D13" s="147">
        <f t="shared" si="0"/>
        <v>48055896</v>
      </c>
      <c r="E13" s="161">
        <f t="shared" si="3"/>
        <v>0</v>
      </c>
      <c r="F13" s="161">
        <f t="shared" si="4"/>
        <v>0</v>
      </c>
      <c r="G13" s="161">
        <f t="shared" si="5"/>
        <v>0</v>
      </c>
      <c r="H13" s="148">
        <f t="shared" si="1"/>
        <v>0</v>
      </c>
      <c r="I13" s="151">
        <f>INPUT!B51</f>
        <v>-0.0008</v>
      </c>
      <c r="J13" s="148">
        <f>+INPUT!B40</f>
        <v>0.0002</v>
      </c>
      <c r="K13" s="149">
        <f t="shared" si="2"/>
        <v>-0.0006</v>
      </c>
      <c r="L13" s="142"/>
    </row>
    <row r="14" spans="1:12" ht="15.75" thickBot="1">
      <c r="A14" s="8" t="s">
        <v>49</v>
      </c>
      <c r="B14" s="192">
        <v>56346873</v>
      </c>
      <c r="C14" s="193">
        <v>52940</v>
      </c>
      <c r="D14" s="147">
        <f t="shared" si="0"/>
        <v>56293933</v>
      </c>
      <c r="E14" s="161">
        <f t="shared" si="3"/>
        <v>0</v>
      </c>
      <c r="F14" s="161">
        <f t="shared" si="4"/>
        <v>0</v>
      </c>
      <c r="G14" s="161">
        <f t="shared" si="5"/>
        <v>0</v>
      </c>
      <c r="H14" s="148">
        <f t="shared" si="1"/>
        <v>0</v>
      </c>
      <c r="I14" s="151">
        <f>INPUT!B52</f>
        <v>-0.0008</v>
      </c>
      <c r="J14" s="148">
        <f>+INPUT!B41</f>
        <v>0.001</v>
      </c>
      <c r="K14" s="149">
        <f t="shared" si="2"/>
        <v>0.0002</v>
      </c>
      <c r="L14" s="142"/>
    </row>
    <row r="15" spans="1:12" ht="15.75" thickBot="1">
      <c r="A15" s="8" t="s">
        <v>25</v>
      </c>
      <c r="B15" s="192">
        <v>11187871</v>
      </c>
      <c r="C15" s="193">
        <v>383638</v>
      </c>
      <c r="D15" s="147">
        <f t="shared" si="0"/>
        <v>10804233</v>
      </c>
      <c r="E15" s="161">
        <f t="shared" si="3"/>
        <v>0</v>
      </c>
      <c r="F15" s="161">
        <f t="shared" si="4"/>
        <v>0</v>
      </c>
      <c r="G15" s="161">
        <f t="shared" si="5"/>
        <v>0</v>
      </c>
      <c r="H15" s="148">
        <f t="shared" si="1"/>
        <v>0</v>
      </c>
      <c r="I15" s="151">
        <f>INPUT!B53</f>
        <v>-0.0008</v>
      </c>
      <c r="J15" s="148">
        <f>INPUT!B42</f>
        <v>0</v>
      </c>
      <c r="K15" s="149">
        <f t="shared" si="2"/>
        <v>-0.0008</v>
      </c>
      <c r="L15" s="142"/>
    </row>
    <row r="16" spans="1:12" ht="15.75" thickBot="1">
      <c r="A16" s="8" t="s">
        <v>50</v>
      </c>
      <c r="B16" s="192">
        <v>12798378</v>
      </c>
      <c r="C16" s="193">
        <v>133197</v>
      </c>
      <c r="D16" s="147">
        <f t="shared" si="0"/>
        <v>12665181</v>
      </c>
      <c r="E16" s="161">
        <f t="shared" si="3"/>
        <v>0</v>
      </c>
      <c r="F16" s="161">
        <f t="shared" si="4"/>
        <v>0</v>
      </c>
      <c r="G16" s="161">
        <f t="shared" si="5"/>
        <v>0</v>
      </c>
      <c r="H16" s="148">
        <f t="shared" si="1"/>
        <v>0</v>
      </c>
      <c r="I16" s="151">
        <f>INPUT!B54</f>
        <v>-0.0008</v>
      </c>
      <c r="J16" s="148">
        <f>INPUT!B43</f>
        <v>0</v>
      </c>
      <c r="K16" s="149">
        <f t="shared" si="2"/>
        <v>-0.0008</v>
      </c>
      <c r="L16" s="142"/>
    </row>
    <row r="17" spans="1:12" ht="15.75" thickBot="1">
      <c r="A17" s="8" t="s">
        <v>172</v>
      </c>
      <c r="B17" s="192">
        <v>23946499</v>
      </c>
      <c r="C17" s="193">
        <v>36153</v>
      </c>
      <c r="D17" s="147">
        <f t="shared" si="0"/>
        <v>23910346</v>
      </c>
      <c r="E17" s="161">
        <f t="shared" si="3"/>
        <v>0</v>
      </c>
      <c r="F17" s="161">
        <f t="shared" si="4"/>
        <v>0</v>
      </c>
      <c r="G17" s="161">
        <f t="shared" si="5"/>
        <v>0</v>
      </c>
      <c r="H17" s="148">
        <f t="shared" si="1"/>
        <v>0</v>
      </c>
      <c r="I17" s="151">
        <f>INPUT!B55</f>
        <v>-0.0008</v>
      </c>
      <c r="J17" s="148">
        <f>INPUT!B44</f>
        <v>0</v>
      </c>
      <c r="K17" s="149">
        <f t="shared" si="2"/>
        <v>-0.0008</v>
      </c>
      <c r="L17" s="142"/>
    </row>
    <row r="18" spans="1:12" ht="15.75" thickBot="1">
      <c r="A18" s="8" t="s">
        <v>27</v>
      </c>
      <c r="B18" s="192">
        <v>3568602</v>
      </c>
      <c r="C18" s="193">
        <v>82102</v>
      </c>
      <c r="D18" s="147">
        <f t="shared" si="0"/>
        <v>3486500</v>
      </c>
      <c r="E18" s="161">
        <f t="shared" si="3"/>
        <v>0</v>
      </c>
      <c r="F18" s="161">
        <f t="shared" si="4"/>
        <v>0</v>
      </c>
      <c r="G18" s="161">
        <f t="shared" si="5"/>
        <v>0</v>
      </c>
      <c r="H18" s="148">
        <f t="shared" si="1"/>
        <v>0</v>
      </c>
      <c r="I18" s="151">
        <f>INPUT!B55</f>
        <v>-0.0008</v>
      </c>
      <c r="J18" s="148">
        <f>INPUT!B45</f>
        <v>0.0256</v>
      </c>
      <c r="K18" s="149">
        <f t="shared" si="2"/>
        <v>0.0248</v>
      </c>
      <c r="L18" s="142"/>
    </row>
    <row r="19" spans="1:12" ht="15.75" thickBot="1">
      <c r="A19" s="8" t="s">
        <v>141</v>
      </c>
      <c r="B19" s="192">
        <v>1386243</v>
      </c>
      <c r="C19" s="193">
        <v>88728</v>
      </c>
      <c r="D19" s="147">
        <f>(B19-C19)</f>
        <v>1297515</v>
      </c>
      <c r="E19" s="161">
        <f>ROUND($B$7*C19,0)</f>
        <v>0</v>
      </c>
      <c r="F19" s="161">
        <f>ROUND($B$6*D19/100,0)</f>
        <v>0</v>
      </c>
      <c r="G19" s="161">
        <f>(E19+F19)</f>
        <v>0</v>
      </c>
      <c r="H19" s="148">
        <f>ROUND(G19/B19,4)</f>
        <v>0</v>
      </c>
      <c r="I19" s="151">
        <f>INPUT!B56</f>
        <v>-0.0008</v>
      </c>
      <c r="J19" s="148">
        <f>INPUT!B46</f>
        <v>0.1305</v>
      </c>
      <c r="K19" s="149">
        <f>ROUND(SUM(H19:J19),4)</f>
        <v>0.1297</v>
      </c>
      <c r="L19" s="142"/>
    </row>
    <row r="20" spans="1:11" ht="15.75" thickBot="1">
      <c r="A20" s="8" t="s">
        <v>54</v>
      </c>
      <c r="B20" s="192">
        <v>100000</v>
      </c>
      <c r="C20" s="193">
        <v>10500</v>
      </c>
      <c r="D20" s="143">
        <f t="shared" si="0"/>
        <v>89500</v>
      </c>
      <c r="E20" s="161">
        <f>ROUND($C$7*C20,0)</f>
        <v>0</v>
      </c>
      <c r="F20" s="161">
        <f>ROUND($C$6*D20/100,0)</f>
        <v>0</v>
      </c>
      <c r="G20" s="161">
        <f t="shared" si="5"/>
        <v>0</v>
      </c>
      <c r="H20" s="148">
        <f t="shared" si="1"/>
        <v>0</v>
      </c>
      <c r="I20" s="148"/>
      <c r="J20" s="148"/>
      <c r="K20" s="148">
        <f t="shared" si="2"/>
        <v>0</v>
      </c>
    </row>
    <row r="21" spans="1:11" ht="15.75" thickBot="1">
      <c r="A21" s="8" t="s">
        <v>73</v>
      </c>
      <c r="B21" s="192">
        <v>100000</v>
      </c>
      <c r="C21" s="193">
        <v>18000</v>
      </c>
      <c r="D21" s="143">
        <f>(B21-C21)</f>
        <v>82000</v>
      </c>
      <c r="E21" s="161">
        <f>ROUND($C$7*C21,0)</f>
        <v>0</v>
      </c>
      <c r="F21" s="161">
        <f>ROUND($C$6*D21/100,0)</f>
        <v>0</v>
      </c>
      <c r="G21" s="161">
        <f>(E21+F21)</f>
        <v>0</v>
      </c>
      <c r="H21" s="148">
        <f>ROUND(G21/B21,4)</f>
        <v>0</v>
      </c>
      <c r="I21" s="148"/>
      <c r="J21" s="148"/>
      <c r="K21" s="148">
        <f>ROUND(SUM(H21:J21),4)</f>
        <v>0</v>
      </c>
    </row>
    <row r="22" spans="1:11" ht="15.75" thickBot="1">
      <c r="A22" s="8" t="s">
        <v>72</v>
      </c>
      <c r="B22" s="192">
        <v>100000</v>
      </c>
      <c r="C22" s="193">
        <v>18000</v>
      </c>
      <c r="D22" s="143">
        <f t="shared" si="0"/>
        <v>82000</v>
      </c>
      <c r="E22" s="161">
        <f>ROUND($C$7*C22,0)</f>
        <v>0</v>
      </c>
      <c r="F22" s="161">
        <f>ROUND($C$6*D22/100,0)</f>
        <v>0</v>
      </c>
      <c r="G22" s="161">
        <f>(E22+F22)</f>
        <v>0</v>
      </c>
      <c r="H22" s="148">
        <f t="shared" si="1"/>
        <v>0</v>
      </c>
      <c r="I22" s="148"/>
      <c r="J22" s="148"/>
      <c r="K22" s="148">
        <f t="shared" si="2"/>
        <v>0</v>
      </c>
    </row>
    <row r="23" spans="1:11" ht="15.75" thickBot="1">
      <c r="A23" s="8" t="s">
        <v>55</v>
      </c>
      <c r="B23" s="192">
        <v>100000</v>
      </c>
      <c r="C23" s="193">
        <v>30000</v>
      </c>
      <c r="D23" s="143">
        <f t="shared" si="0"/>
        <v>70000</v>
      </c>
      <c r="E23" s="161">
        <f>ROUND($C$7*C23,0)</f>
        <v>0</v>
      </c>
      <c r="F23" s="161">
        <f>ROUND($C$6*D23/100,0)</f>
        <v>0</v>
      </c>
      <c r="G23" s="161">
        <f>(E23+F23)</f>
        <v>0</v>
      </c>
      <c r="H23" s="148">
        <f t="shared" si="1"/>
        <v>0</v>
      </c>
      <c r="I23" s="148"/>
      <c r="J23" s="148"/>
      <c r="K23" s="148">
        <f t="shared" si="2"/>
        <v>0</v>
      </c>
    </row>
    <row r="24" spans="1:11" ht="15.75" thickBot="1">
      <c r="A24" s="8" t="s">
        <v>56</v>
      </c>
      <c r="B24" s="192">
        <v>100000</v>
      </c>
      <c r="C24" s="193">
        <v>36000</v>
      </c>
      <c r="D24" s="143">
        <f t="shared" si="0"/>
        <v>64000</v>
      </c>
      <c r="E24" s="161">
        <f>ROUND($C$7*C24,0)</f>
        <v>0</v>
      </c>
      <c r="F24" s="161">
        <f>ROUND($C$6*D24/100,0)</f>
        <v>0</v>
      </c>
      <c r="G24" s="161">
        <f>(E24+F24)</f>
        <v>0</v>
      </c>
      <c r="H24" s="148">
        <f t="shared" si="1"/>
        <v>0</v>
      </c>
      <c r="I24" s="148"/>
      <c r="J24" s="148"/>
      <c r="K24" s="148">
        <f t="shared" si="2"/>
        <v>0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3"/>
  <sheetViews>
    <sheetView zoomScale="75" zoomScaleNormal="75" zoomScalePageLayoutView="0" workbookViewId="0" topLeftCell="A4">
      <pane xSplit="1" ySplit="2" topLeftCell="B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B96" sqref="B96"/>
    </sheetView>
  </sheetViews>
  <sheetFormatPr defaultColWidth="9.140625" defaultRowHeight="12.75"/>
  <cols>
    <col min="1" max="1" width="31.00390625" style="0" customWidth="1"/>
    <col min="2" max="2" width="13.140625" style="0" customWidth="1"/>
    <col min="3" max="3" width="10.57421875" style="0" customWidth="1"/>
    <col min="4" max="5" width="11.7109375" style="0" customWidth="1"/>
    <col min="6" max="6" width="13.28125" style="0" customWidth="1"/>
    <col min="7" max="7" width="7.140625" style="0" customWidth="1"/>
  </cols>
  <sheetData>
    <row r="1" spans="1:7" ht="12.75">
      <c r="A1" s="17" t="s">
        <v>37</v>
      </c>
      <c r="B1" s="17"/>
      <c r="C1" s="17"/>
      <c r="D1" s="17"/>
      <c r="E1" s="17"/>
      <c r="F1" s="17"/>
      <c r="G1" s="17"/>
    </row>
    <row r="2" spans="1:7" ht="12.75">
      <c r="A2" s="17" t="s">
        <v>57</v>
      </c>
      <c r="B2" s="17"/>
      <c r="C2" s="17"/>
      <c r="D2" s="17"/>
      <c r="E2" s="17"/>
      <c r="F2" s="17"/>
      <c r="G2" s="17"/>
    </row>
    <row r="3" spans="1:7" ht="13.5" thickBot="1">
      <c r="A3" s="18">
        <f ca="1">NOW()</f>
        <v>41991.352715625</v>
      </c>
      <c r="B3" s="17"/>
      <c r="C3" s="17"/>
      <c r="D3" s="17"/>
      <c r="E3" s="17"/>
      <c r="F3" s="17"/>
      <c r="G3" s="17"/>
    </row>
    <row r="4" spans="2:7" ht="13.5" thickTop="1">
      <c r="B4" s="19" t="s">
        <v>58</v>
      </c>
      <c r="C4" s="19" t="s">
        <v>59</v>
      </c>
      <c r="D4" s="19" t="s">
        <v>60</v>
      </c>
      <c r="E4" s="19" t="s">
        <v>158</v>
      </c>
      <c r="F4" s="19" t="s">
        <v>61</v>
      </c>
      <c r="G4" s="19" t="s">
        <v>40</v>
      </c>
    </row>
    <row r="5" spans="2:7" ht="13.5" thickBot="1">
      <c r="B5" s="20" t="s">
        <v>62</v>
      </c>
      <c r="C5" s="20" t="s">
        <v>45</v>
      </c>
      <c r="D5" s="20" t="s">
        <v>45</v>
      </c>
      <c r="E5" s="20" t="s">
        <v>45</v>
      </c>
      <c r="F5" s="20" t="s">
        <v>45</v>
      </c>
      <c r="G5" s="20" t="s">
        <v>45</v>
      </c>
    </row>
    <row r="6" spans="1:7" ht="14.25" thickBot="1" thickTop="1">
      <c r="A6" s="21" t="s">
        <v>21</v>
      </c>
      <c r="B6" s="28"/>
      <c r="C6" s="29"/>
      <c r="D6" s="29"/>
      <c r="E6" s="29"/>
      <c r="F6" s="29"/>
      <c r="G6" s="29"/>
    </row>
    <row r="7" spans="1:7" ht="13.5" thickTop="1">
      <c r="A7" s="27" t="s">
        <v>12</v>
      </c>
      <c r="B7" s="31">
        <v>8.6</v>
      </c>
      <c r="C7" s="26">
        <f>ROUND(B7*RAW!$K$11,4)</f>
        <v>-0.0069</v>
      </c>
      <c r="D7" s="30">
        <f>INPUT!$B$13</f>
        <v>0</v>
      </c>
      <c r="E7" s="30">
        <f>E9*4</f>
        <v>0</v>
      </c>
      <c r="F7" s="26">
        <f>+F9*4</f>
        <v>1.136</v>
      </c>
      <c r="G7" s="30">
        <f>ROUND(SUM(C7:F7),4)</f>
        <v>1.1291</v>
      </c>
    </row>
    <row r="8" spans="1:7" ht="12.75">
      <c r="A8" s="27" t="s">
        <v>63</v>
      </c>
      <c r="B8" s="31">
        <v>4.3</v>
      </c>
      <c r="C8" s="26">
        <f>ROUND(B8*RAW!$K$11,4)</f>
        <v>-0.0034</v>
      </c>
      <c r="D8" s="30">
        <f>INPUT!$B$14</f>
        <v>0</v>
      </c>
      <c r="E8" s="30">
        <f>E9*2</f>
        <v>0</v>
      </c>
      <c r="F8" s="26">
        <f>+F9*2</f>
        <v>0.568</v>
      </c>
      <c r="G8" s="30">
        <f aca="true" t="shared" si="0" ref="G8:G15">ROUND(SUM(C8:F8),4)</f>
        <v>0.5646</v>
      </c>
    </row>
    <row r="9" spans="1:7" ht="12.75">
      <c r="A9" s="27" t="s">
        <v>14</v>
      </c>
      <c r="B9" s="31">
        <v>2.15</v>
      </c>
      <c r="C9" s="26">
        <f>ROUND(B9*RAW!$K$11,4)</f>
        <v>-0.0017</v>
      </c>
      <c r="D9" s="30">
        <f>INPUT!$B$15</f>
        <v>0</v>
      </c>
      <c r="E9" s="30">
        <f>INPUT!B$35</f>
        <v>0</v>
      </c>
      <c r="F9" s="26">
        <f>INPUT!$B$30</f>
        <v>0.284</v>
      </c>
      <c r="G9" s="30">
        <f t="shared" si="0"/>
        <v>0.2823</v>
      </c>
    </row>
    <row r="10" spans="1:7" ht="12.75">
      <c r="A10" s="27" t="s">
        <v>15</v>
      </c>
      <c r="B10" s="31">
        <v>1.075</v>
      </c>
      <c r="C10" s="26">
        <f>ROUND(B10*RAW!$K$11,4)</f>
        <v>-0.0009</v>
      </c>
      <c r="D10" s="30">
        <f>INPUT!$B$16</f>
        <v>0</v>
      </c>
      <c r="E10" s="30">
        <f>ROUND(E9/2,4)</f>
        <v>0</v>
      </c>
      <c r="F10" s="26">
        <f>ROUND($F$9/2,4)</f>
        <v>0.142</v>
      </c>
      <c r="G10" s="30">
        <f t="shared" si="0"/>
        <v>0.1411</v>
      </c>
    </row>
    <row r="11" spans="1:7" ht="12.75">
      <c r="A11" s="27" t="s">
        <v>162</v>
      </c>
      <c r="B11" s="31">
        <f>B12/10*12</f>
        <v>0.8062499999999999</v>
      </c>
      <c r="C11" s="26">
        <f>ROUND(B11*RAW!$K$11,4)</f>
        <v>-0.0006</v>
      </c>
      <c r="D11" s="30">
        <f>INPUT!$B$17</f>
        <v>0.0463</v>
      </c>
      <c r="E11" s="30">
        <f>ROUND(E8/32*12,4)</f>
        <v>0</v>
      </c>
      <c r="F11" s="26">
        <f>ROUND($F$9/32*12,4)</f>
        <v>0.1065</v>
      </c>
      <c r="G11" s="30">
        <f t="shared" si="0"/>
        <v>0.1522</v>
      </c>
    </row>
    <row r="12" spans="1:7" ht="12.75">
      <c r="A12" s="27" t="s">
        <v>64</v>
      </c>
      <c r="B12" s="31">
        <v>0.671875</v>
      </c>
      <c r="C12" s="26">
        <f>ROUND(B12*RAW!$K$11,4)</f>
        <v>-0.0005</v>
      </c>
      <c r="D12" s="30">
        <f>INPUT!$B$18</f>
        <v>0.0544</v>
      </c>
      <c r="E12" s="30">
        <f>ROUND(E9/32*10,4)</f>
        <v>0</v>
      </c>
      <c r="F12" s="26">
        <f>ROUND($F$9/32*10,4)</f>
        <v>0.0888</v>
      </c>
      <c r="G12" s="30">
        <f t="shared" si="0"/>
        <v>0.1427</v>
      </c>
    </row>
    <row r="13" spans="1:7" ht="12.75">
      <c r="A13" s="27" t="s">
        <v>65</v>
      </c>
      <c r="B13" s="31">
        <v>0.5375</v>
      </c>
      <c r="C13" s="26">
        <f>ROUND(B13*RAW!$K$11,4)</f>
        <v>-0.0004</v>
      </c>
      <c r="D13" s="30">
        <f>INPUT!$B$19</f>
        <v>0</v>
      </c>
      <c r="E13" s="30">
        <f>ROUND(E9/4,4)</f>
        <v>0</v>
      </c>
      <c r="F13" s="26">
        <f>ROUND($F$9/4,4)</f>
        <v>0.071</v>
      </c>
      <c r="G13" s="30">
        <f t="shared" si="0"/>
        <v>0.0706</v>
      </c>
    </row>
    <row r="14" spans="1:7" ht="12.75">
      <c r="A14" s="27" t="s">
        <v>66</v>
      </c>
      <c r="B14" s="31">
        <v>0.26875</v>
      </c>
      <c r="C14" s="26">
        <f>ROUND(B14*RAW!$K$11,4)</f>
        <v>-0.0002</v>
      </c>
      <c r="D14" s="30">
        <f>INPUT!$B$21</f>
        <v>0.0263</v>
      </c>
      <c r="E14" s="30">
        <f>ROUND(E9/32*4,4)</f>
        <v>0</v>
      </c>
      <c r="F14" s="26">
        <f>ROUND($F$9/8,4)</f>
        <v>0.0355</v>
      </c>
      <c r="G14" s="30">
        <f t="shared" si="0"/>
        <v>0.0616</v>
      </c>
    </row>
    <row r="15" spans="1:7" ht="13.5" thickBot="1">
      <c r="A15" s="27" t="s">
        <v>67</v>
      </c>
      <c r="B15" s="31">
        <v>2.15</v>
      </c>
      <c r="C15" s="26">
        <f>ROUND(B15*RAW!$K$11,4)</f>
        <v>-0.0017</v>
      </c>
      <c r="D15" s="30">
        <f>INPUT!$B$22</f>
        <v>0.0764</v>
      </c>
      <c r="E15" s="30">
        <f>E9</f>
        <v>0</v>
      </c>
      <c r="F15" s="26">
        <f>ROUND($F$9,4)</f>
        <v>0.284</v>
      </c>
      <c r="G15" s="30">
        <f t="shared" si="0"/>
        <v>0.3587</v>
      </c>
    </row>
    <row r="16" spans="1:2" ht="14.25" thickBot="1" thickTop="1">
      <c r="A16" s="21" t="s">
        <v>47</v>
      </c>
      <c r="B16" s="32"/>
    </row>
    <row r="17" spans="1:7" ht="13.5" thickTop="1">
      <c r="A17" s="23" t="s">
        <v>12</v>
      </c>
      <c r="B17" s="31">
        <v>8.62</v>
      </c>
      <c r="C17" s="30">
        <f>ROUND(B17*RAW!$K$12,4)</f>
        <v>-0.006</v>
      </c>
      <c r="D17" s="30">
        <f>INPUT!$B$13</f>
        <v>0</v>
      </c>
      <c r="E17" s="30">
        <f>E19*4</f>
        <v>0</v>
      </c>
      <c r="F17" s="26">
        <f>+F19*4</f>
        <v>1.136</v>
      </c>
      <c r="G17" s="30">
        <f>ROUND(SUM(C17:F17),4)</f>
        <v>1.13</v>
      </c>
    </row>
    <row r="18" spans="1:7" ht="12.75">
      <c r="A18" s="22" t="s">
        <v>63</v>
      </c>
      <c r="B18" s="31">
        <v>4.31</v>
      </c>
      <c r="C18" s="30">
        <f>ROUND(B18*RAW!$K$12,4)</f>
        <v>-0.003</v>
      </c>
      <c r="D18" s="30">
        <f>INPUT!$B$14</f>
        <v>0</v>
      </c>
      <c r="E18" s="30">
        <f>E19*2</f>
        <v>0</v>
      </c>
      <c r="F18" s="26">
        <f>+F19*2</f>
        <v>0.568</v>
      </c>
      <c r="G18" s="30">
        <f aca="true" t="shared" si="1" ref="G18:G25">ROUND(SUM(C18:F18),4)</f>
        <v>0.565</v>
      </c>
    </row>
    <row r="19" spans="1:7" ht="12.75">
      <c r="A19" s="22" t="s">
        <v>14</v>
      </c>
      <c r="B19" s="31">
        <v>2.155</v>
      </c>
      <c r="C19" s="30">
        <f>ROUND(B19*RAW!$K$12,4)</f>
        <v>-0.0015</v>
      </c>
      <c r="D19" s="30">
        <f>INPUT!$B$15</f>
        <v>0</v>
      </c>
      <c r="E19" s="30">
        <f>INPUT!B$35</f>
        <v>0</v>
      </c>
      <c r="F19" s="26">
        <f>INPUT!$B$30</f>
        <v>0.284</v>
      </c>
      <c r="G19" s="30">
        <f t="shared" si="1"/>
        <v>0.2825</v>
      </c>
    </row>
    <row r="20" spans="1:7" ht="12.75">
      <c r="A20" s="22" t="s">
        <v>15</v>
      </c>
      <c r="B20" s="31">
        <v>1.0775</v>
      </c>
      <c r="C20" s="30">
        <f>ROUND(B20*RAW!$K$12,4)</f>
        <v>-0.0008</v>
      </c>
      <c r="D20" s="30">
        <f>INPUT!$B$16</f>
        <v>0</v>
      </c>
      <c r="E20" s="30">
        <f>ROUND(E19/2,4)</f>
        <v>0</v>
      </c>
      <c r="F20" s="26">
        <f>ROUND($F$9/2,4)</f>
        <v>0.142</v>
      </c>
      <c r="G20" s="30">
        <f t="shared" si="1"/>
        <v>0.1412</v>
      </c>
    </row>
    <row r="21" spans="1:7" ht="12.75">
      <c r="A21" s="27" t="s">
        <v>162</v>
      </c>
      <c r="B21" s="31">
        <f>B22/10*12</f>
        <v>0.8081255999999999</v>
      </c>
      <c r="C21" s="30">
        <f>ROUND(B21*RAW!$K$12,4)</f>
        <v>-0.0006</v>
      </c>
      <c r="D21" s="30">
        <f>INPUT!$B$17</f>
        <v>0.0463</v>
      </c>
      <c r="E21" s="30">
        <f>ROUND(E18/32*12,4)</f>
        <v>0</v>
      </c>
      <c r="F21" s="26">
        <f>ROUND($F$9/32*12,4)</f>
        <v>0.1065</v>
      </c>
      <c r="G21" s="30">
        <f t="shared" si="1"/>
        <v>0.1522</v>
      </c>
    </row>
    <row r="22" spans="1:7" ht="12.75">
      <c r="A22" s="22" t="s">
        <v>64</v>
      </c>
      <c r="B22" s="31">
        <v>0.673438</v>
      </c>
      <c r="C22" s="30">
        <f>ROUND(B22*RAW!$K$12,4)</f>
        <v>-0.0005</v>
      </c>
      <c r="D22" s="30">
        <f>INPUT!$B$18</f>
        <v>0.0544</v>
      </c>
      <c r="E22" s="30">
        <f>ROUND(E19/32*10,4)</f>
        <v>0</v>
      </c>
      <c r="F22" s="26">
        <f>ROUND($F$9/32*10,4)</f>
        <v>0.0888</v>
      </c>
      <c r="G22" s="30">
        <f t="shared" si="1"/>
        <v>0.1427</v>
      </c>
    </row>
    <row r="23" spans="1:7" ht="12.75">
      <c r="A23" s="22" t="s">
        <v>65</v>
      </c>
      <c r="B23" s="31">
        <v>0.53875</v>
      </c>
      <c r="C23" s="30">
        <f>ROUND(B23*RAW!$K$12,4)</f>
        <v>-0.0004</v>
      </c>
      <c r="D23" s="30">
        <f>INPUT!$B$19</f>
        <v>0</v>
      </c>
      <c r="E23" s="30">
        <f>ROUND(E19/4,4)</f>
        <v>0</v>
      </c>
      <c r="F23" s="26">
        <f>ROUND($F$9/4,4)</f>
        <v>0.071</v>
      </c>
      <c r="G23" s="30">
        <f t="shared" si="1"/>
        <v>0.0706</v>
      </c>
    </row>
    <row r="24" spans="1:7" ht="12.75">
      <c r="A24" s="22" t="s">
        <v>66</v>
      </c>
      <c r="B24" s="31">
        <v>0.269375</v>
      </c>
      <c r="C24" s="30">
        <f>ROUND(B24*RAW!$K$12,4)</f>
        <v>-0.0002</v>
      </c>
      <c r="D24" s="30">
        <f>INPUT!$B$21</f>
        <v>0.0263</v>
      </c>
      <c r="E24" s="30">
        <f>ROUND(E19/32*4,4)</f>
        <v>0</v>
      </c>
      <c r="F24" s="26">
        <f>ROUND($F$9/8,4)</f>
        <v>0.0355</v>
      </c>
      <c r="G24" s="30">
        <f t="shared" si="1"/>
        <v>0.0616</v>
      </c>
    </row>
    <row r="25" spans="1:7" ht="13.5" thickBot="1">
      <c r="A25" s="24" t="s">
        <v>67</v>
      </c>
      <c r="B25" s="31">
        <v>2.155</v>
      </c>
      <c r="C25" s="30">
        <f>ROUND(B25*RAW!$K$12,4)</f>
        <v>-0.0015</v>
      </c>
      <c r="D25" s="30">
        <f>INPUT!$B$22</f>
        <v>0.0764</v>
      </c>
      <c r="E25" s="30">
        <f>E19</f>
        <v>0</v>
      </c>
      <c r="F25" s="26">
        <f>ROUND($F$9,4)</f>
        <v>0.284</v>
      </c>
      <c r="G25" s="30">
        <f t="shared" si="1"/>
        <v>0.3589</v>
      </c>
    </row>
    <row r="26" spans="1:2" ht="14.25" thickBot="1" thickTop="1">
      <c r="A26" s="21" t="s">
        <v>48</v>
      </c>
      <c r="B26" s="32"/>
    </row>
    <row r="27" spans="1:7" ht="13.5" thickTop="1">
      <c r="A27" s="23" t="s">
        <v>12</v>
      </c>
      <c r="B27" s="31">
        <v>8.62</v>
      </c>
      <c r="C27" s="30">
        <f>ROUND(B27*RAW!$K$13,4)</f>
        <v>-0.0052</v>
      </c>
      <c r="D27" s="30">
        <f>INPUT!$B$13</f>
        <v>0</v>
      </c>
      <c r="E27" s="30">
        <f>E29*4</f>
        <v>0</v>
      </c>
      <c r="F27" s="26">
        <f>+F29*4</f>
        <v>1.136</v>
      </c>
      <c r="G27" s="30">
        <f>ROUND(SUM(C27:F27),4)</f>
        <v>1.1308</v>
      </c>
    </row>
    <row r="28" spans="1:7" ht="12.75">
      <c r="A28" s="22" t="s">
        <v>63</v>
      </c>
      <c r="B28" s="31">
        <v>4.31</v>
      </c>
      <c r="C28" s="30">
        <f>ROUND(B28*RAW!$K$13,4)</f>
        <v>-0.0026</v>
      </c>
      <c r="D28" s="30">
        <f>INPUT!$B$14</f>
        <v>0</v>
      </c>
      <c r="E28" s="30">
        <f>E29*2</f>
        <v>0</v>
      </c>
      <c r="F28" s="26">
        <f>+F29*2</f>
        <v>0.568</v>
      </c>
      <c r="G28" s="30">
        <f aca="true" t="shared" si="2" ref="G28:G35">ROUND(SUM(C28:F28),4)</f>
        <v>0.5654</v>
      </c>
    </row>
    <row r="29" spans="1:7" ht="12.75">
      <c r="A29" s="22" t="s">
        <v>14</v>
      </c>
      <c r="B29" s="31">
        <v>2.155</v>
      </c>
      <c r="C29" s="30">
        <f>ROUND(B29*RAW!$K$13,4)</f>
        <v>-0.0013</v>
      </c>
      <c r="D29" s="30">
        <f>INPUT!$B$15</f>
        <v>0</v>
      </c>
      <c r="E29" s="30">
        <f>INPUT!B$35</f>
        <v>0</v>
      </c>
      <c r="F29" s="26">
        <f>INPUT!$B$30</f>
        <v>0.284</v>
      </c>
      <c r="G29" s="30">
        <f t="shared" si="2"/>
        <v>0.2827</v>
      </c>
    </row>
    <row r="30" spans="1:7" ht="12.75">
      <c r="A30" s="22" t="s">
        <v>15</v>
      </c>
      <c r="B30" s="31">
        <v>1.0775</v>
      </c>
      <c r="C30" s="30">
        <f>ROUND(B30*RAW!$K$13,4)</f>
        <v>-0.0006</v>
      </c>
      <c r="D30" s="30">
        <f>INPUT!$B$16</f>
        <v>0</v>
      </c>
      <c r="E30" s="30">
        <f>ROUND(E29/2,4)</f>
        <v>0</v>
      </c>
      <c r="F30" s="26">
        <f>ROUND($F$9/2,4)</f>
        <v>0.142</v>
      </c>
      <c r="G30" s="30">
        <f t="shared" si="2"/>
        <v>0.1414</v>
      </c>
    </row>
    <row r="31" spans="1:7" ht="12.75">
      <c r="A31" s="27" t="s">
        <v>162</v>
      </c>
      <c r="B31" s="31">
        <f>ROUND(B29/32*12,4)</f>
        <v>0.8081</v>
      </c>
      <c r="C31" s="30">
        <f>ROUND(B31*RAW!$K$13,4)</f>
        <v>-0.0005</v>
      </c>
      <c r="D31" s="30">
        <f>INPUT!$B$17</f>
        <v>0.0463</v>
      </c>
      <c r="E31" s="30">
        <f>ROUND(E28/32*12,4)</f>
        <v>0</v>
      </c>
      <c r="F31" s="26">
        <f>ROUND($F$9/32*12,4)</f>
        <v>0.1065</v>
      </c>
      <c r="G31" s="30">
        <f t="shared" si="2"/>
        <v>0.1523</v>
      </c>
    </row>
    <row r="32" spans="1:7" ht="12.75">
      <c r="A32" s="22" t="s">
        <v>64</v>
      </c>
      <c r="B32" s="31">
        <v>0.673438</v>
      </c>
      <c r="C32" s="30">
        <f>ROUND(B32*RAW!$K$13,4)</f>
        <v>-0.0004</v>
      </c>
      <c r="D32" s="30">
        <f>INPUT!$B$18</f>
        <v>0.0544</v>
      </c>
      <c r="E32" s="30">
        <f>ROUND(E29/32*10,4)</f>
        <v>0</v>
      </c>
      <c r="F32" s="26">
        <f>ROUND($F$9/32*10,4)</f>
        <v>0.0888</v>
      </c>
      <c r="G32" s="30">
        <f t="shared" si="2"/>
        <v>0.1428</v>
      </c>
    </row>
    <row r="33" spans="1:7" ht="12.75">
      <c r="A33" s="22" t="s">
        <v>65</v>
      </c>
      <c r="B33" s="31">
        <v>0.53875</v>
      </c>
      <c r="C33" s="30">
        <f>ROUND(B33*RAW!$K$13,4)</f>
        <v>-0.0003</v>
      </c>
      <c r="D33" s="30">
        <f>INPUT!$B$19</f>
        <v>0</v>
      </c>
      <c r="E33" s="30">
        <f>ROUND(E29/4,4)</f>
        <v>0</v>
      </c>
      <c r="F33" s="26">
        <f>ROUND($F$9/4,4)</f>
        <v>0.071</v>
      </c>
      <c r="G33" s="30">
        <f t="shared" si="2"/>
        <v>0.0707</v>
      </c>
    </row>
    <row r="34" spans="1:7" ht="12.75">
      <c r="A34" s="22" t="s">
        <v>66</v>
      </c>
      <c r="B34" s="31">
        <v>0.269375</v>
      </c>
      <c r="C34" s="30">
        <f>ROUND(B34*RAW!$K$13,4)</f>
        <v>-0.0002</v>
      </c>
      <c r="D34" s="30">
        <f>INPUT!$B$21</f>
        <v>0.0263</v>
      </c>
      <c r="E34" s="30">
        <f>ROUND(E29/32*4,4)</f>
        <v>0</v>
      </c>
      <c r="F34" s="26">
        <f>ROUND($F$9/8,4)</f>
        <v>0.0355</v>
      </c>
      <c r="G34" s="30">
        <f t="shared" si="2"/>
        <v>0.0616</v>
      </c>
    </row>
    <row r="35" spans="1:7" ht="13.5" thickBot="1">
      <c r="A35" s="24" t="s">
        <v>67</v>
      </c>
      <c r="B35" s="31">
        <v>2.155</v>
      </c>
      <c r="C35" s="30">
        <f>ROUND(B35*RAW!$K$13,4)</f>
        <v>-0.0013</v>
      </c>
      <c r="D35" s="30">
        <f>INPUT!$B$22</f>
        <v>0.0764</v>
      </c>
      <c r="E35" s="30">
        <f>E29</f>
        <v>0</v>
      </c>
      <c r="F35" s="26">
        <f>ROUND($F$9,4)</f>
        <v>0.284</v>
      </c>
      <c r="G35" s="30">
        <f t="shared" si="2"/>
        <v>0.3591</v>
      </c>
    </row>
    <row r="36" spans="1:2" ht="14.25" thickBot="1" thickTop="1">
      <c r="A36" s="21" t="s">
        <v>49</v>
      </c>
      <c r="B36" s="32"/>
    </row>
    <row r="37" spans="1:7" ht="13.5" thickTop="1">
      <c r="A37" s="23" t="s">
        <v>12</v>
      </c>
      <c r="B37" s="31">
        <v>8.63</v>
      </c>
      <c r="C37" s="26">
        <f>ROUND(B37*RAW!$K$14,4)</f>
        <v>0.0017</v>
      </c>
      <c r="D37" s="30">
        <f>INPUT!$B$13</f>
        <v>0</v>
      </c>
      <c r="E37" s="30">
        <f>E39*4</f>
        <v>0</v>
      </c>
      <c r="F37" s="26">
        <f>+F39*4</f>
        <v>1.136</v>
      </c>
      <c r="G37" s="30">
        <f>ROUND(SUM(C37:F37),4)</f>
        <v>1.1377</v>
      </c>
    </row>
    <row r="38" spans="1:7" ht="12.75">
      <c r="A38" s="22" t="s">
        <v>63</v>
      </c>
      <c r="B38" s="31">
        <v>4.315</v>
      </c>
      <c r="C38" s="26">
        <f>ROUND(B38*RAW!$K$14,4)</f>
        <v>0.0009</v>
      </c>
      <c r="D38" s="30">
        <f>INPUT!$B$14</f>
        <v>0</v>
      </c>
      <c r="E38" s="30">
        <f>E39*2</f>
        <v>0</v>
      </c>
      <c r="F38" s="26">
        <f>+F39*2</f>
        <v>0.568</v>
      </c>
      <c r="G38" s="30">
        <f aca="true" t="shared" si="3" ref="G38:G45">ROUND(SUM(C38:F38),4)</f>
        <v>0.5689</v>
      </c>
    </row>
    <row r="39" spans="1:7" ht="12.75">
      <c r="A39" s="22" t="s">
        <v>14</v>
      </c>
      <c r="B39" s="31">
        <v>2.1575</v>
      </c>
      <c r="C39" s="26">
        <f>ROUND(B39*RAW!$K$14,4)</f>
        <v>0.0004</v>
      </c>
      <c r="D39" s="30">
        <f>INPUT!$B$15</f>
        <v>0</v>
      </c>
      <c r="E39" s="30">
        <f>INPUT!B$35</f>
        <v>0</v>
      </c>
      <c r="F39" s="26">
        <f>INPUT!$B$30</f>
        <v>0.284</v>
      </c>
      <c r="G39" s="30">
        <f t="shared" si="3"/>
        <v>0.2844</v>
      </c>
    </row>
    <row r="40" spans="1:7" ht="12.75">
      <c r="A40" s="22" t="s">
        <v>15</v>
      </c>
      <c r="B40" s="31">
        <v>1.07875</v>
      </c>
      <c r="C40" s="26">
        <f>ROUND(B40*RAW!$K$14,4)</f>
        <v>0.0002</v>
      </c>
      <c r="D40" s="30">
        <f>INPUT!$B$16</f>
        <v>0</v>
      </c>
      <c r="E40" s="30">
        <f>ROUND(E39/2,4)</f>
        <v>0</v>
      </c>
      <c r="F40" s="26">
        <f>ROUND($F$9/2,4)</f>
        <v>0.142</v>
      </c>
      <c r="G40" s="30">
        <f t="shared" si="3"/>
        <v>0.1422</v>
      </c>
    </row>
    <row r="41" spans="1:7" ht="12.75">
      <c r="A41" s="27" t="s">
        <v>162</v>
      </c>
      <c r="B41" s="31">
        <f>B42/10*12</f>
        <v>0.8090628000000001</v>
      </c>
      <c r="C41" s="26">
        <f>ROUND(B41*RAW!$K$14,4)</f>
        <v>0.0002</v>
      </c>
      <c r="D41" s="30">
        <f>INPUT!$B$17</f>
        <v>0.0463</v>
      </c>
      <c r="E41" s="30">
        <f>ROUND(E38/32*12,4)</f>
        <v>0</v>
      </c>
      <c r="F41" s="26">
        <f>ROUND($F$9/32*12,4)</f>
        <v>0.1065</v>
      </c>
      <c r="G41" s="30">
        <f t="shared" si="3"/>
        <v>0.153</v>
      </c>
    </row>
    <row r="42" spans="1:7" ht="12.75">
      <c r="A42" s="22" t="s">
        <v>64</v>
      </c>
      <c r="B42" s="31">
        <v>0.674219</v>
      </c>
      <c r="C42" s="26">
        <f>ROUND(B42*RAW!$K$14,4)</f>
        <v>0.0001</v>
      </c>
      <c r="D42" s="30">
        <f>INPUT!$B$18</f>
        <v>0.0544</v>
      </c>
      <c r="E42" s="30">
        <f>ROUND(E39/32*10,4)</f>
        <v>0</v>
      </c>
      <c r="F42" s="26">
        <f>ROUND($F$9/32*10,4)</f>
        <v>0.0888</v>
      </c>
      <c r="G42" s="30">
        <f t="shared" si="3"/>
        <v>0.1433</v>
      </c>
    </row>
    <row r="43" spans="1:7" ht="12.75">
      <c r="A43" s="22" t="s">
        <v>65</v>
      </c>
      <c r="B43" s="31">
        <v>0.539375</v>
      </c>
      <c r="C43" s="26">
        <f>ROUND(B43*RAW!$K$14,4)</f>
        <v>0.0001</v>
      </c>
      <c r="D43" s="30">
        <f>INPUT!$B$19</f>
        <v>0</v>
      </c>
      <c r="E43" s="30">
        <f>ROUND(E39/4,4)</f>
        <v>0</v>
      </c>
      <c r="F43" s="26">
        <f>ROUND($F$9/4,4)</f>
        <v>0.071</v>
      </c>
      <c r="G43" s="30">
        <f t="shared" si="3"/>
        <v>0.0711</v>
      </c>
    </row>
    <row r="44" spans="1:7" ht="12.75">
      <c r="A44" s="22" t="s">
        <v>66</v>
      </c>
      <c r="B44" s="31">
        <v>0.269688</v>
      </c>
      <c r="C44" s="26">
        <f>ROUND(B44*RAW!$K$14,4)</f>
        <v>0.0001</v>
      </c>
      <c r="D44" s="30">
        <f>INPUT!$B$21</f>
        <v>0.0263</v>
      </c>
      <c r="E44" s="30">
        <f>ROUND(E39/32*4,4)</f>
        <v>0</v>
      </c>
      <c r="F44" s="26">
        <f>ROUND($F$9/8,4)</f>
        <v>0.0355</v>
      </c>
      <c r="G44" s="30">
        <f t="shared" si="3"/>
        <v>0.0619</v>
      </c>
    </row>
    <row r="45" spans="1:7" ht="13.5" thickBot="1">
      <c r="A45" s="24" t="s">
        <v>67</v>
      </c>
      <c r="B45" s="31">
        <v>2.1575</v>
      </c>
      <c r="C45" s="26">
        <f>ROUND(B45*RAW!$K$14,4)</f>
        <v>0.0004</v>
      </c>
      <c r="D45" s="30">
        <f>INPUT!$B$22</f>
        <v>0.0764</v>
      </c>
      <c r="E45" s="30">
        <f>E39</f>
        <v>0</v>
      </c>
      <c r="F45" s="26">
        <f>ROUND($F$9,4)</f>
        <v>0.284</v>
      </c>
      <c r="G45" s="30">
        <f t="shared" si="3"/>
        <v>0.3608</v>
      </c>
    </row>
    <row r="46" spans="1:2" ht="14.25" thickBot="1" thickTop="1">
      <c r="A46" s="21" t="s">
        <v>25</v>
      </c>
      <c r="B46" s="32"/>
    </row>
    <row r="47" spans="1:7" ht="13.5" thickTop="1">
      <c r="A47" s="23" t="s">
        <v>12</v>
      </c>
      <c r="B47" s="31">
        <v>8</v>
      </c>
      <c r="C47" s="30">
        <f>ROUND(B47*RAW!$K$15,4)</f>
        <v>-0.0064</v>
      </c>
      <c r="D47" s="30">
        <f>INPUT!$B$13</f>
        <v>0</v>
      </c>
      <c r="E47" s="30">
        <f>E49*4</f>
        <v>0</v>
      </c>
      <c r="F47" s="26">
        <f>+F49*4</f>
        <v>1.136</v>
      </c>
      <c r="G47" s="30">
        <f>ROUND(SUM(C47:F47),4)</f>
        <v>1.1296</v>
      </c>
    </row>
    <row r="48" spans="1:7" ht="12.75">
      <c r="A48" s="22" t="s">
        <v>63</v>
      </c>
      <c r="B48" s="31">
        <v>4</v>
      </c>
      <c r="C48" s="30">
        <f>ROUND(B48*RAW!$K$15,4)</f>
        <v>-0.0032</v>
      </c>
      <c r="D48" s="30">
        <f>INPUT!$B$14</f>
        <v>0</v>
      </c>
      <c r="E48" s="30">
        <f>E49*2</f>
        <v>0</v>
      </c>
      <c r="F48" s="26">
        <f>+F49*2</f>
        <v>0.568</v>
      </c>
      <c r="G48" s="30">
        <f aca="true" t="shared" si="4" ref="G48:G55">ROUND(SUM(C48:F48),4)</f>
        <v>0.5648</v>
      </c>
    </row>
    <row r="49" spans="1:7" ht="12.75">
      <c r="A49" s="22" t="s">
        <v>14</v>
      </c>
      <c r="B49" s="31">
        <v>2</v>
      </c>
      <c r="C49" s="30">
        <f>ROUND(B49*RAW!$K$15,4)</f>
        <v>-0.0016</v>
      </c>
      <c r="D49" s="30">
        <f>INPUT!$B$15</f>
        <v>0</v>
      </c>
      <c r="E49" s="30">
        <f>INPUT!B$35</f>
        <v>0</v>
      </c>
      <c r="F49" s="26">
        <f>INPUT!$B$30</f>
        <v>0.284</v>
      </c>
      <c r="G49" s="30">
        <f t="shared" si="4"/>
        <v>0.2824</v>
      </c>
    </row>
    <row r="50" spans="1:7" ht="12.75">
      <c r="A50" s="22" t="s">
        <v>15</v>
      </c>
      <c r="B50" s="31">
        <v>1</v>
      </c>
      <c r="C50" s="30">
        <f>ROUND(B50*RAW!$K$15,4)</f>
        <v>-0.0008</v>
      </c>
      <c r="D50" s="30">
        <f>INPUT!$B$16</f>
        <v>0</v>
      </c>
      <c r="E50" s="30">
        <f>ROUND(E49/2,4)</f>
        <v>0</v>
      </c>
      <c r="F50" s="26">
        <f>ROUND($F$9/2,4)</f>
        <v>0.142</v>
      </c>
      <c r="G50" s="30">
        <f t="shared" si="4"/>
        <v>0.1412</v>
      </c>
    </row>
    <row r="51" spans="1:7" ht="12.75">
      <c r="A51" s="27" t="s">
        <v>162</v>
      </c>
      <c r="B51" s="31">
        <f>B52/10*12</f>
        <v>0.75</v>
      </c>
      <c r="C51" s="30">
        <f>ROUND(B51*RAW!$K$15,4)</f>
        <v>-0.0006</v>
      </c>
      <c r="D51" s="30">
        <f>INPUT!$B$17</f>
        <v>0.0463</v>
      </c>
      <c r="E51" s="30">
        <f>ROUND(E48/32*12,4)</f>
        <v>0</v>
      </c>
      <c r="F51" s="26">
        <f>ROUND($F$9/32*12,4)</f>
        <v>0.1065</v>
      </c>
      <c r="G51" s="30">
        <f t="shared" si="4"/>
        <v>0.1522</v>
      </c>
    </row>
    <row r="52" spans="1:7" ht="12.75">
      <c r="A52" s="22" t="s">
        <v>64</v>
      </c>
      <c r="B52" s="31">
        <v>0.625</v>
      </c>
      <c r="C52" s="30">
        <f>ROUND(B52*RAW!$K$15,4)</f>
        <v>-0.0005</v>
      </c>
      <c r="D52" s="30">
        <f>INPUT!$B$18</f>
        <v>0.0544</v>
      </c>
      <c r="E52" s="30">
        <f>ROUND(E49/32*10,4)</f>
        <v>0</v>
      </c>
      <c r="F52" s="26">
        <f>ROUND($F$9/32*10,4)</f>
        <v>0.0888</v>
      </c>
      <c r="G52" s="30">
        <f t="shared" si="4"/>
        <v>0.1427</v>
      </c>
    </row>
    <row r="53" spans="1:7" ht="12.75">
      <c r="A53" s="22" t="s">
        <v>65</v>
      </c>
      <c r="B53" s="31">
        <v>0.5</v>
      </c>
      <c r="C53" s="30">
        <f>ROUND(B53*RAW!$K$15,4)</f>
        <v>-0.0004</v>
      </c>
      <c r="D53" s="30">
        <f>INPUT!$B$19</f>
        <v>0</v>
      </c>
      <c r="E53" s="30">
        <f>ROUND(E49/4,4)</f>
        <v>0</v>
      </c>
      <c r="F53" s="26">
        <f>ROUND($F$9/4,4)</f>
        <v>0.071</v>
      </c>
      <c r="G53" s="30">
        <f t="shared" si="4"/>
        <v>0.0706</v>
      </c>
    </row>
    <row r="54" spans="1:7" ht="12.75">
      <c r="A54" s="22" t="s">
        <v>66</v>
      </c>
      <c r="B54" s="31">
        <v>0.25</v>
      </c>
      <c r="C54" s="30">
        <f>ROUND(B54*RAW!$K$15,4)</f>
        <v>-0.0002</v>
      </c>
      <c r="D54" s="30">
        <f>INPUT!$B$21</f>
        <v>0.0263</v>
      </c>
      <c r="E54" s="30">
        <f>ROUND(E49/32*4,4)</f>
        <v>0</v>
      </c>
      <c r="F54" s="26">
        <f>ROUND($F$9/8,4)</f>
        <v>0.0355</v>
      </c>
      <c r="G54" s="30">
        <f t="shared" si="4"/>
        <v>0.0616</v>
      </c>
    </row>
    <row r="55" spans="1:7" ht="13.5" thickBot="1">
      <c r="A55" s="24" t="s">
        <v>67</v>
      </c>
      <c r="B55" s="31">
        <v>2</v>
      </c>
      <c r="C55" s="30">
        <f>ROUND(B55*RAW!$K$15,4)</f>
        <v>-0.0016</v>
      </c>
      <c r="D55" s="30">
        <f>INPUT!$B$22</f>
        <v>0.0764</v>
      </c>
      <c r="E55" s="30">
        <f>E49</f>
        <v>0</v>
      </c>
      <c r="F55" s="26">
        <f>ROUND($F$9,4)</f>
        <v>0.284</v>
      </c>
      <c r="G55" s="30">
        <f t="shared" si="4"/>
        <v>0.3588</v>
      </c>
    </row>
    <row r="56" spans="1:2" ht="14.25" thickBot="1" thickTop="1">
      <c r="A56" s="21" t="s">
        <v>50</v>
      </c>
      <c r="B56" s="32"/>
    </row>
    <row r="57" spans="1:7" ht="13.5" thickTop="1">
      <c r="A57" s="23" t="s">
        <v>12</v>
      </c>
      <c r="B57" s="31">
        <v>8</v>
      </c>
      <c r="C57" s="30">
        <f>ROUND(B57*RAW!$K$16,4)</f>
        <v>-0.0064</v>
      </c>
      <c r="D57" s="30">
        <f>INPUT!$B$13</f>
        <v>0</v>
      </c>
      <c r="E57" s="30">
        <f>E59*4</f>
        <v>0</v>
      </c>
      <c r="F57" s="26">
        <f>+F59*4</f>
        <v>1.136</v>
      </c>
      <c r="G57" s="30">
        <f>ROUND(SUM(C57:F57),4)</f>
        <v>1.1296</v>
      </c>
    </row>
    <row r="58" spans="1:7" ht="12.75">
      <c r="A58" s="22" t="s">
        <v>63</v>
      </c>
      <c r="B58" s="31">
        <v>4</v>
      </c>
      <c r="C58" s="30">
        <f>ROUND(B58*RAW!$K$16,4)</f>
        <v>-0.0032</v>
      </c>
      <c r="D58" s="30">
        <f>INPUT!$B$14</f>
        <v>0</v>
      </c>
      <c r="E58" s="30">
        <f>E59*2</f>
        <v>0</v>
      </c>
      <c r="F58" s="26">
        <f>+F59*2</f>
        <v>0.568</v>
      </c>
      <c r="G58" s="30">
        <f aca="true" t="shared" si="5" ref="G58:G65">ROUND(SUM(C58:F58),4)</f>
        <v>0.5648</v>
      </c>
    </row>
    <row r="59" spans="1:7" ht="12.75">
      <c r="A59" s="22" t="s">
        <v>14</v>
      </c>
      <c r="B59" s="31">
        <v>2</v>
      </c>
      <c r="C59" s="30">
        <f>ROUND(B59*RAW!$K$16,4)</f>
        <v>-0.0016</v>
      </c>
      <c r="D59" s="30">
        <f>INPUT!$B$15</f>
        <v>0</v>
      </c>
      <c r="E59" s="30">
        <f>INPUT!B$35</f>
        <v>0</v>
      </c>
      <c r="F59" s="26">
        <f>INPUT!$B$30</f>
        <v>0.284</v>
      </c>
      <c r="G59" s="30">
        <f t="shared" si="5"/>
        <v>0.2824</v>
      </c>
    </row>
    <row r="60" spans="1:7" ht="12.75">
      <c r="A60" s="22" t="s">
        <v>15</v>
      </c>
      <c r="B60" s="31">
        <v>1</v>
      </c>
      <c r="C60" s="30">
        <f>ROUND(B60*RAW!$K$16,4)</f>
        <v>-0.0008</v>
      </c>
      <c r="D60" s="30">
        <f>INPUT!$B$16</f>
        <v>0</v>
      </c>
      <c r="E60" s="30">
        <f>ROUND(E59/2,4)</f>
        <v>0</v>
      </c>
      <c r="F60" s="26">
        <f>ROUND($F$9/2,4)</f>
        <v>0.142</v>
      </c>
      <c r="G60" s="30">
        <f t="shared" si="5"/>
        <v>0.1412</v>
      </c>
    </row>
    <row r="61" spans="1:7" ht="12.75">
      <c r="A61" s="27" t="s">
        <v>162</v>
      </c>
      <c r="B61" s="31">
        <f>B62/10*12</f>
        <v>0.75</v>
      </c>
      <c r="C61" s="30">
        <f>ROUND(B61*RAW!$K$16,4)</f>
        <v>-0.0006</v>
      </c>
      <c r="D61" s="30">
        <f>INPUT!$B$17</f>
        <v>0.0463</v>
      </c>
      <c r="E61" s="30">
        <f>ROUND(E58/32*12,4)</f>
        <v>0</v>
      </c>
      <c r="F61" s="26">
        <f>ROUND($F$9/32*12,4)</f>
        <v>0.1065</v>
      </c>
      <c r="G61" s="30">
        <f t="shared" si="5"/>
        <v>0.1522</v>
      </c>
    </row>
    <row r="62" spans="1:7" ht="12.75">
      <c r="A62" s="22" t="s">
        <v>64</v>
      </c>
      <c r="B62" s="31">
        <v>0.625</v>
      </c>
      <c r="C62" s="30">
        <f>ROUND(B62*RAW!$K$16,4)</f>
        <v>-0.0005</v>
      </c>
      <c r="D62" s="30">
        <f>INPUT!$B$18</f>
        <v>0.0544</v>
      </c>
      <c r="E62" s="30">
        <f>ROUND(E59/32*10,4)</f>
        <v>0</v>
      </c>
      <c r="F62" s="26">
        <f>ROUND($F$9/32*10,4)</f>
        <v>0.0888</v>
      </c>
      <c r="G62" s="30">
        <f t="shared" si="5"/>
        <v>0.1427</v>
      </c>
    </row>
    <row r="63" spans="1:7" ht="12.75">
      <c r="A63" s="22" t="s">
        <v>65</v>
      </c>
      <c r="B63" s="31">
        <v>0.5</v>
      </c>
      <c r="C63" s="30">
        <f>ROUND(B63*RAW!$K$16,4)</f>
        <v>-0.0004</v>
      </c>
      <c r="D63" s="30">
        <f>INPUT!$B$19</f>
        <v>0</v>
      </c>
      <c r="E63" s="30">
        <f>ROUND(E59/4,4)</f>
        <v>0</v>
      </c>
      <c r="F63" s="26">
        <f>ROUND($F$9/4,4)</f>
        <v>0.071</v>
      </c>
      <c r="G63" s="30">
        <f t="shared" si="5"/>
        <v>0.0706</v>
      </c>
    </row>
    <row r="64" spans="1:7" ht="12.75">
      <c r="A64" s="22" t="s">
        <v>66</v>
      </c>
      <c r="B64" s="31">
        <v>0.25</v>
      </c>
      <c r="C64" s="30">
        <f>ROUND(B64*RAW!$K$16,4)</f>
        <v>-0.0002</v>
      </c>
      <c r="D64" s="30">
        <f>INPUT!$B$21</f>
        <v>0.0263</v>
      </c>
      <c r="E64" s="30">
        <f>ROUND(E59/32*4,4)</f>
        <v>0</v>
      </c>
      <c r="F64" s="26">
        <f>ROUND($F$9/8,4)</f>
        <v>0.0355</v>
      </c>
      <c r="G64" s="30">
        <f t="shared" si="5"/>
        <v>0.0616</v>
      </c>
    </row>
    <row r="65" spans="1:7" ht="13.5" thickBot="1">
      <c r="A65" s="24" t="s">
        <v>67</v>
      </c>
      <c r="B65" s="31">
        <v>2</v>
      </c>
      <c r="C65" s="30">
        <f>ROUND(B65*RAW!$K$16,4)</f>
        <v>-0.0016</v>
      </c>
      <c r="D65" s="30">
        <f>INPUT!$B$22</f>
        <v>0.0764</v>
      </c>
      <c r="E65" s="30">
        <f>E59</f>
        <v>0</v>
      </c>
      <c r="F65" s="26">
        <f>ROUND($F$9,4)</f>
        <v>0.284</v>
      </c>
      <c r="G65" s="30">
        <f t="shared" si="5"/>
        <v>0.3588</v>
      </c>
    </row>
    <row r="66" spans="1:2" ht="14.25" thickBot="1" thickTop="1">
      <c r="A66" s="21" t="s">
        <v>172</v>
      </c>
      <c r="B66" s="32"/>
    </row>
    <row r="67" spans="1:7" ht="13.5" thickTop="1">
      <c r="A67" s="23" t="s">
        <v>12</v>
      </c>
      <c r="B67" s="31">
        <v>8</v>
      </c>
      <c r="C67" s="30">
        <f>ROUND(B67*RAW!$K$17,4)</f>
        <v>-0.0064</v>
      </c>
      <c r="D67" s="30">
        <f>INPUT!$B$13</f>
        <v>0</v>
      </c>
      <c r="E67" s="30">
        <f>E69*4</f>
        <v>0</v>
      </c>
      <c r="F67" s="26">
        <f>+F69*4</f>
        <v>1.136</v>
      </c>
      <c r="G67" s="30">
        <f>ROUND(SUM(C67:F67),4)</f>
        <v>1.1296</v>
      </c>
    </row>
    <row r="68" spans="1:7" ht="12.75">
      <c r="A68" s="22" t="s">
        <v>63</v>
      </c>
      <c r="B68" s="31">
        <v>4</v>
      </c>
      <c r="C68" s="30">
        <f>ROUND(B68*RAW!$K$17,4)</f>
        <v>-0.0032</v>
      </c>
      <c r="D68" s="30">
        <f>INPUT!$B$14</f>
        <v>0</v>
      </c>
      <c r="E68" s="30">
        <f>E69*2</f>
        <v>0</v>
      </c>
      <c r="F68" s="26">
        <f>+F69*2</f>
        <v>0.568</v>
      </c>
      <c r="G68" s="30">
        <f aca="true" t="shared" si="6" ref="G68:G75">ROUND(SUM(C68:F68),4)</f>
        <v>0.5648</v>
      </c>
    </row>
    <row r="69" spans="1:7" ht="12.75">
      <c r="A69" s="22" t="s">
        <v>14</v>
      </c>
      <c r="B69" s="31">
        <v>2</v>
      </c>
      <c r="C69" s="30">
        <f>ROUND(B69*RAW!$K$17,4)</f>
        <v>-0.0016</v>
      </c>
      <c r="D69" s="30">
        <f>INPUT!$B$15</f>
        <v>0</v>
      </c>
      <c r="E69" s="30">
        <f>INPUT!B$35</f>
        <v>0</v>
      </c>
      <c r="F69" s="26">
        <f>INPUT!$B$30</f>
        <v>0.284</v>
      </c>
      <c r="G69" s="30">
        <f t="shared" si="6"/>
        <v>0.2824</v>
      </c>
    </row>
    <row r="70" spans="1:7" ht="12.75">
      <c r="A70" s="22" t="s">
        <v>15</v>
      </c>
      <c r="B70" s="31">
        <v>1</v>
      </c>
      <c r="C70" s="30">
        <f>ROUND(B70*RAW!$K$17,4)</f>
        <v>-0.0008</v>
      </c>
      <c r="D70" s="30">
        <f>INPUT!$B$16</f>
        <v>0</v>
      </c>
      <c r="E70" s="30">
        <f>ROUND(E69/2,4)</f>
        <v>0</v>
      </c>
      <c r="F70" s="26">
        <f>ROUND($F$9/2,4)</f>
        <v>0.142</v>
      </c>
      <c r="G70" s="30">
        <f t="shared" si="6"/>
        <v>0.1412</v>
      </c>
    </row>
    <row r="71" spans="1:7" ht="12.75">
      <c r="A71" s="27" t="s">
        <v>162</v>
      </c>
      <c r="B71" s="31">
        <f>B72/10*12</f>
        <v>0.75</v>
      </c>
      <c r="C71" s="30">
        <f>ROUND(B71*RAW!$K$17,4)</f>
        <v>-0.0006</v>
      </c>
      <c r="D71" s="30">
        <f>INPUT!$B$17</f>
        <v>0.0463</v>
      </c>
      <c r="E71" s="30">
        <f>ROUND(E68/32*12,4)</f>
        <v>0</v>
      </c>
      <c r="F71" s="26">
        <f>ROUND($F$9/32*12,4)</f>
        <v>0.1065</v>
      </c>
      <c r="G71" s="30">
        <f t="shared" si="6"/>
        <v>0.1522</v>
      </c>
    </row>
    <row r="72" spans="1:7" ht="12.75">
      <c r="A72" s="22" t="s">
        <v>64</v>
      </c>
      <c r="B72" s="31">
        <v>0.625</v>
      </c>
      <c r="C72" s="30">
        <f>ROUND(B72*RAW!$K$17,4)</f>
        <v>-0.0005</v>
      </c>
      <c r="D72" s="30">
        <f>INPUT!$B$18</f>
        <v>0.0544</v>
      </c>
      <c r="E72" s="30">
        <f>ROUND(E69/32*10,4)</f>
        <v>0</v>
      </c>
      <c r="F72" s="26">
        <f>ROUND($F$9/32*10,4)</f>
        <v>0.0888</v>
      </c>
      <c r="G72" s="30">
        <f t="shared" si="6"/>
        <v>0.1427</v>
      </c>
    </row>
    <row r="73" spans="1:7" ht="12.75">
      <c r="A73" s="22" t="s">
        <v>65</v>
      </c>
      <c r="B73" s="31">
        <v>0.5</v>
      </c>
      <c r="C73" s="30">
        <f>ROUND(B73*RAW!$K$17,4)</f>
        <v>-0.0004</v>
      </c>
      <c r="D73" s="30">
        <f>INPUT!$B$19</f>
        <v>0</v>
      </c>
      <c r="E73" s="30">
        <f>ROUND(E69/4,4)</f>
        <v>0</v>
      </c>
      <c r="F73" s="26">
        <f>ROUND($F$9/4,4)</f>
        <v>0.071</v>
      </c>
      <c r="G73" s="30">
        <f t="shared" si="6"/>
        <v>0.0706</v>
      </c>
    </row>
    <row r="74" spans="1:7" ht="12.75">
      <c r="A74" s="22" t="s">
        <v>66</v>
      </c>
      <c r="B74" s="31">
        <v>0.25</v>
      </c>
      <c r="C74" s="30">
        <f>ROUND(B74*RAW!$K$17,4)</f>
        <v>-0.0002</v>
      </c>
      <c r="D74" s="30">
        <f>INPUT!$B$21</f>
        <v>0.0263</v>
      </c>
      <c r="E74" s="30">
        <f>ROUND(E69/32*4,4)</f>
        <v>0</v>
      </c>
      <c r="F74" s="26">
        <f>ROUND($F$9/8,4)</f>
        <v>0.0355</v>
      </c>
      <c r="G74" s="30">
        <f t="shared" si="6"/>
        <v>0.0616</v>
      </c>
    </row>
    <row r="75" spans="1:7" ht="13.5" thickBot="1">
      <c r="A75" s="24" t="s">
        <v>67</v>
      </c>
      <c r="B75" s="31">
        <v>2</v>
      </c>
      <c r="C75" s="30">
        <f>ROUND(B75*RAW!$K$17,4)</f>
        <v>-0.0016</v>
      </c>
      <c r="D75" s="30">
        <f>INPUT!$B$22</f>
        <v>0.0764</v>
      </c>
      <c r="E75" s="30">
        <f>E69</f>
        <v>0</v>
      </c>
      <c r="F75" s="26">
        <f>ROUND($F$9,4)</f>
        <v>0.284</v>
      </c>
      <c r="G75" s="30">
        <f t="shared" si="6"/>
        <v>0.3588</v>
      </c>
    </row>
    <row r="76" spans="1:2" ht="14.25" thickBot="1" thickTop="1">
      <c r="A76" s="21" t="s">
        <v>27</v>
      </c>
      <c r="B76" s="32"/>
    </row>
    <row r="77" spans="1:7" ht="13.5" thickTop="1">
      <c r="A77" s="23" t="s">
        <v>12</v>
      </c>
      <c r="B77" s="31">
        <v>8.62</v>
      </c>
      <c r="C77" s="30">
        <f>ROUND(B77*RAW!$K$18,4)</f>
        <v>0.2138</v>
      </c>
      <c r="D77" s="30">
        <f>INPUT!$B$13</f>
        <v>0</v>
      </c>
      <c r="E77" s="30">
        <f>E79*4</f>
        <v>0</v>
      </c>
      <c r="F77" s="26">
        <f>+F79*4</f>
        <v>1.136</v>
      </c>
      <c r="G77" s="30">
        <f>ROUND(SUM(C77:F77),4)</f>
        <v>1.3498</v>
      </c>
    </row>
    <row r="78" spans="1:7" ht="12.75">
      <c r="A78" s="22" t="s">
        <v>63</v>
      </c>
      <c r="B78" s="31">
        <v>4.31</v>
      </c>
      <c r="C78" s="30">
        <f>ROUND(B78*RAW!$K$18,4)</f>
        <v>0.1069</v>
      </c>
      <c r="D78" s="30">
        <f>INPUT!$B$14</f>
        <v>0</v>
      </c>
      <c r="E78" s="30">
        <f>E79*2</f>
        <v>0</v>
      </c>
      <c r="F78" s="26">
        <f>+F79*2</f>
        <v>0.568</v>
      </c>
      <c r="G78" s="30">
        <f aca="true" t="shared" si="7" ref="G78:G85">ROUND(SUM(C78:F78),4)</f>
        <v>0.6749</v>
      </c>
    </row>
    <row r="79" spans="1:7" ht="12.75">
      <c r="A79" s="22" t="s">
        <v>14</v>
      </c>
      <c r="B79" s="31">
        <v>2.155</v>
      </c>
      <c r="C79" s="30">
        <f>ROUND(B79*RAW!$K$18,4)</f>
        <v>0.0534</v>
      </c>
      <c r="D79" s="30">
        <f>INPUT!$B$15</f>
        <v>0</v>
      </c>
      <c r="E79" s="30">
        <f>INPUT!B$35</f>
        <v>0</v>
      </c>
      <c r="F79" s="26">
        <f>INPUT!$B$30</f>
        <v>0.284</v>
      </c>
      <c r="G79" s="30">
        <f t="shared" si="7"/>
        <v>0.3374</v>
      </c>
    </row>
    <row r="80" spans="1:7" ht="12.75">
      <c r="A80" s="22" t="s">
        <v>15</v>
      </c>
      <c r="B80" s="31">
        <v>1.0775</v>
      </c>
      <c r="C80" s="30">
        <f>ROUND(B80*RAW!$K$18,4)</f>
        <v>0.0267</v>
      </c>
      <c r="D80" s="30">
        <f>INPUT!$B$16</f>
        <v>0</v>
      </c>
      <c r="E80" s="30">
        <f>ROUND(E79/2,4)</f>
        <v>0</v>
      </c>
      <c r="F80" s="26">
        <f>ROUND($F$9/2,4)</f>
        <v>0.142</v>
      </c>
      <c r="G80" s="30">
        <f t="shared" si="7"/>
        <v>0.1687</v>
      </c>
    </row>
    <row r="81" spans="1:7" ht="12.75">
      <c r="A81" s="27" t="s">
        <v>162</v>
      </c>
      <c r="B81" s="31">
        <f>ROUND(B82/10*12,4)</f>
        <v>0.8081</v>
      </c>
      <c r="C81" s="30">
        <f>ROUND(B81*RAW!$K$18,4)</f>
        <v>0.02</v>
      </c>
      <c r="D81" s="30">
        <f>INPUT!$B$17</f>
        <v>0.0463</v>
      </c>
      <c r="E81" s="30">
        <f>ROUND(E78/32*12,4)</f>
        <v>0</v>
      </c>
      <c r="F81" s="26">
        <f>ROUND($F$9/32*12,4)</f>
        <v>0.1065</v>
      </c>
      <c r="G81" s="30">
        <f t="shared" si="7"/>
        <v>0.1728</v>
      </c>
    </row>
    <row r="82" spans="1:7" ht="12.75">
      <c r="A82" s="22" t="s">
        <v>64</v>
      </c>
      <c r="B82" s="31">
        <f>ROUND(0.673438,4)</f>
        <v>0.6734</v>
      </c>
      <c r="C82" s="30">
        <f>ROUND(B82*RAW!$K$18,4)</f>
        <v>0.0167</v>
      </c>
      <c r="D82" s="30">
        <f>INPUT!$B$18</f>
        <v>0.0544</v>
      </c>
      <c r="E82" s="30">
        <f>ROUND(E79/32*10,4)</f>
        <v>0</v>
      </c>
      <c r="F82" s="26">
        <f>ROUND($F$9/32*10,4)</f>
        <v>0.0888</v>
      </c>
      <c r="G82" s="30">
        <f t="shared" si="7"/>
        <v>0.1599</v>
      </c>
    </row>
    <row r="83" spans="1:7" ht="12.75">
      <c r="A83" s="22" t="s">
        <v>65</v>
      </c>
      <c r="B83" s="31">
        <v>0.53875</v>
      </c>
      <c r="C83" s="30">
        <f>ROUND(B83*RAW!$K$18,4)</f>
        <v>0.0134</v>
      </c>
      <c r="D83" s="30">
        <f>INPUT!$B$19</f>
        <v>0</v>
      </c>
      <c r="E83" s="30">
        <f>ROUND(E79/4,4)</f>
        <v>0</v>
      </c>
      <c r="F83" s="26">
        <f>ROUND($F$9/4,4)</f>
        <v>0.071</v>
      </c>
      <c r="G83" s="30">
        <f t="shared" si="7"/>
        <v>0.0844</v>
      </c>
    </row>
    <row r="84" spans="1:7" ht="12.75">
      <c r="A84" s="22" t="s">
        <v>66</v>
      </c>
      <c r="B84" s="31">
        <v>0.269375</v>
      </c>
      <c r="C84" s="30">
        <f>ROUND(B84*RAW!$K$18,4)</f>
        <v>0.0067</v>
      </c>
      <c r="D84" s="30">
        <f>INPUT!$B$21</f>
        <v>0.0263</v>
      </c>
      <c r="E84" s="30">
        <f>ROUND(E79/32*4,4)</f>
        <v>0</v>
      </c>
      <c r="F84" s="26">
        <f>ROUND($F$9/8,4)</f>
        <v>0.0355</v>
      </c>
      <c r="G84" s="30">
        <f t="shared" si="7"/>
        <v>0.0685</v>
      </c>
    </row>
    <row r="85" spans="1:7" ht="13.5" thickBot="1">
      <c r="A85" s="24" t="s">
        <v>67</v>
      </c>
      <c r="B85" s="31">
        <v>2.155</v>
      </c>
      <c r="C85" s="30">
        <f>ROUND(B85*RAW!$K$18,4)</f>
        <v>0.0534</v>
      </c>
      <c r="D85" s="30">
        <f>INPUT!$B$22</f>
        <v>0.0764</v>
      </c>
      <c r="E85" s="30">
        <f>E79</f>
        <v>0</v>
      </c>
      <c r="F85" s="26">
        <f>ROUND($F$9,4)</f>
        <v>0.284</v>
      </c>
      <c r="G85" s="30">
        <f t="shared" si="7"/>
        <v>0.4138</v>
      </c>
    </row>
    <row r="86" spans="1:2" ht="14.25" thickBot="1" thickTop="1">
      <c r="A86" s="21" t="s">
        <v>141</v>
      </c>
      <c r="B86" s="32"/>
    </row>
    <row r="87" spans="1:7" ht="13.5" thickTop="1">
      <c r="A87" s="23" t="s">
        <v>12</v>
      </c>
      <c r="B87" s="31">
        <f>B89*4</f>
        <v>8</v>
      </c>
      <c r="C87" s="30">
        <f>ROUND(B87*RAW!$K$19,4)</f>
        <v>1.0376</v>
      </c>
      <c r="D87" s="30">
        <f>INPUT!$B$13</f>
        <v>0</v>
      </c>
      <c r="E87" s="30">
        <f>E89*4</f>
        <v>0</v>
      </c>
      <c r="F87" s="26">
        <f>+F89*4</f>
        <v>1.136</v>
      </c>
      <c r="G87" s="30">
        <f>ROUND(SUM(C87:F87),4)</f>
        <v>2.1736</v>
      </c>
    </row>
    <row r="88" spans="1:7" ht="12.75">
      <c r="A88" s="22" t="s">
        <v>63</v>
      </c>
      <c r="B88" s="31">
        <f>B87/2</f>
        <v>4</v>
      </c>
      <c r="C88" s="30">
        <f>ROUND(B88*RAW!$K$19,4)</f>
        <v>0.5188</v>
      </c>
      <c r="D88" s="30">
        <f>INPUT!$B$14</f>
        <v>0</v>
      </c>
      <c r="E88" s="30">
        <f>E89*2</f>
        <v>0</v>
      </c>
      <c r="F88" s="26">
        <f>+F89*2</f>
        <v>0.568</v>
      </c>
      <c r="G88" s="30">
        <f aca="true" t="shared" si="8" ref="G88:G95">ROUND(SUM(C88:F88),4)</f>
        <v>1.0868</v>
      </c>
    </row>
    <row r="89" spans="1:7" ht="12.75">
      <c r="A89" s="22" t="s">
        <v>14</v>
      </c>
      <c r="B89" s="31">
        <v>2</v>
      </c>
      <c r="C89" s="30">
        <f>ROUND(B89*RAW!$K$19,4)</f>
        <v>0.2594</v>
      </c>
      <c r="D89" s="30">
        <f>INPUT!$B$15</f>
        <v>0</v>
      </c>
      <c r="E89" s="30">
        <f>INPUT!B$35</f>
        <v>0</v>
      </c>
      <c r="F89" s="26">
        <f>INPUT!$B$30</f>
        <v>0.284</v>
      </c>
      <c r="G89" s="30">
        <f t="shared" si="8"/>
        <v>0.5434</v>
      </c>
    </row>
    <row r="90" spans="1:7" ht="12.75">
      <c r="A90" s="22" t="s">
        <v>15</v>
      </c>
      <c r="B90" s="31">
        <f>B89/2</f>
        <v>1</v>
      </c>
      <c r="C90" s="30">
        <f>ROUND(B90*RAW!$K$19,4)</f>
        <v>0.1297</v>
      </c>
      <c r="D90" s="30">
        <f>INPUT!$B$16</f>
        <v>0</v>
      </c>
      <c r="E90" s="30">
        <f>ROUND(E89/2,4)</f>
        <v>0</v>
      </c>
      <c r="F90" s="26">
        <f>ROUND($F$9/2,4)</f>
        <v>0.142</v>
      </c>
      <c r="G90" s="30">
        <f t="shared" si="8"/>
        <v>0.2717</v>
      </c>
    </row>
    <row r="91" spans="1:7" ht="12.75">
      <c r="A91" s="27" t="s">
        <v>162</v>
      </c>
      <c r="B91" s="31">
        <f>B92/10*12</f>
        <v>0.75</v>
      </c>
      <c r="C91" s="30">
        <f>ROUND(B91*RAW!$K$19,4)</f>
        <v>0.0973</v>
      </c>
      <c r="D91" s="30">
        <f>INPUT!$B$17</f>
        <v>0.0463</v>
      </c>
      <c r="E91" s="30">
        <f>ROUND(E88/32*12,4)</f>
        <v>0</v>
      </c>
      <c r="F91" s="26">
        <f>ROUND($F$9/32*12,4)</f>
        <v>0.1065</v>
      </c>
      <c r="G91" s="30">
        <f t="shared" si="8"/>
        <v>0.2501</v>
      </c>
    </row>
    <row r="92" spans="1:7" ht="12.75">
      <c r="A92" s="22" t="s">
        <v>64</v>
      </c>
      <c r="B92" s="31">
        <f>B89/32*10</f>
        <v>0.625</v>
      </c>
      <c r="C92" s="30">
        <f>ROUND(B92*RAW!$K$19,4)</f>
        <v>0.0811</v>
      </c>
      <c r="D92" s="30">
        <f>INPUT!$B$18</f>
        <v>0.0544</v>
      </c>
      <c r="E92" s="30">
        <f>ROUND(E89/32*10,4)</f>
        <v>0</v>
      </c>
      <c r="F92" s="26">
        <f>ROUND($F$9/32*10,4)</f>
        <v>0.0888</v>
      </c>
      <c r="G92" s="30">
        <f t="shared" si="8"/>
        <v>0.2243</v>
      </c>
    </row>
    <row r="93" spans="1:7" ht="12.75">
      <c r="A93" s="22" t="s">
        <v>65</v>
      </c>
      <c r="B93" s="31">
        <f>B90/2</f>
        <v>0.5</v>
      </c>
      <c r="C93" s="30">
        <f>ROUND(B93*RAW!$K$19,4)</f>
        <v>0.0649</v>
      </c>
      <c r="D93" s="30">
        <f>INPUT!$B$19</f>
        <v>0</v>
      </c>
      <c r="E93" s="30">
        <f>ROUND(E89/4,4)</f>
        <v>0</v>
      </c>
      <c r="F93" s="26">
        <f>ROUND($F$9/4,4)</f>
        <v>0.071</v>
      </c>
      <c r="G93" s="30">
        <f t="shared" si="8"/>
        <v>0.1359</v>
      </c>
    </row>
    <row r="94" spans="1:7" ht="12.75">
      <c r="A94" s="22" t="s">
        <v>66</v>
      </c>
      <c r="B94" s="31">
        <f>B93/2</f>
        <v>0.25</v>
      </c>
      <c r="C94" s="30">
        <f>ROUND(B94*RAW!$K$19,4)</f>
        <v>0.0324</v>
      </c>
      <c r="D94" s="30">
        <f>INPUT!$B$21</f>
        <v>0.0263</v>
      </c>
      <c r="E94" s="30">
        <f>ROUND(E89/32*4,4)</f>
        <v>0</v>
      </c>
      <c r="F94" s="26">
        <f>ROUND($F$9/8,4)</f>
        <v>0.0355</v>
      </c>
      <c r="G94" s="30">
        <f t="shared" si="8"/>
        <v>0.0942</v>
      </c>
    </row>
    <row r="95" spans="1:7" ht="13.5" thickBot="1">
      <c r="A95" s="24" t="s">
        <v>67</v>
      </c>
      <c r="B95" s="31">
        <f>B89</f>
        <v>2</v>
      </c>
      <c r="C95" s="30">
        <f>ROUND(B95*RAW!$K$19,4)</f>
        <v>0.2594</v>
      </c>
      <c r="D95" s="30">
        <f>INPUT!$B$22</f>
        <v>0.0764</v>
      </c>
      <c r="E95" s="30">
        <f>E89</f>
        <v>0</v>
      </c>
      <c r="F95" s="26">
        <f>ROUND($F$9,4)</f>
        <v>0.284</v>
      </c>
      <c r="G95" s="30">
        <f t="shared" si="8"/>
        <v>0.6198</v>
      </c>
    </row>
    <row r="96" spans="1:2" ht="14.25" thickBot="1" thickTop="1">
      <c r="A96" s="21" t="s">
        <v>68</v>
      </c>
      <c r="B96" s="32"/>
    </row>
    <row r="97" spans="1:7" ht="13.5" thickTop="1">
      <c r="A97" s="23" t="s">
        <v>63</v>
      </c>
      <c r="B97" s="31">
        <v>4.275</v>
      </c>
      <c r="C97" s="30">
        <f>ROUND(B97*RAW!$K$20,4)</f>
        <v>0</v>
      </c>
      <c r="D97" s="30">
        <f>INPUT!$B$14</f>
        <v>0</v>
      </c>
      <c r="E97" s="30">
        <f>E98*2</f>
        <v>0</v>
      </c>
      <c r="F97" s="26">
        <f>+F98*2</f>
        <v>0.568</v>
      </c>
      <c r="G97" s="30">
        <f aca="true" t="shared" si="9" ref="G97:G107">ROUND(SUM(C97:F97),4)</f>
        <v>0.568</v>
      </c>
    </row>
    <row r="98" spans="1:7" ht="12.75">
      <c r="A98" s="22" t="s">
        <v>14</v>
      </c>
      <c r="B98" s="31">
        <v>2.1375</v>
      </c>
      <c r="C98" s="30">
        <f>ROUND(B98*RAW!$K$20,4)</f>
        <v>0</v>
      </c>
      <c r="D98" s="30">
        <f>INPUT!$B$15</f>
        <v>0</v>
      </c>
      <c r="E98" s="30">
        <f>INPUT!B$35</f>
        <v>0</v>
      </c>
      <c r="F98" s="26">
        <f>INPUT!$B$30</f>
        <v>0.284</v>
      </c>
      <c r="G98" s="30">
        <f t="shared" si="9"/>
        <v>0.284</v>
      </c>
    </row>
    <row r="99" spans="1:7" ht="12.75">
      <c r="A99" s="22" t="s">
        <v>15</v>
      </c>
      <c r="B99" s="31">
        <f>ROUND(1.06875,4)</f>
        <v>1.0688</v>
      </c>
      <c r="C99" s="30">
        <f>ROUND(B99*RAW!$K$20,4)</f>
        <v>0</v>
      </c>
      <c r="D99" s="30">
        <f>INPUT!$B$16</f>
        <v>0</v>
      </c>
      <c r="E99" s="30">
        <f>ROUND(E98/2,4)</f>
        <v>0</v>
      </c>
      <c r="F99" s="26">
        <f>ROUND($F$9/2,4)</f>
        <v>0.142</v>
      </c>
      <c r="G99" s="30">
        <f t="shared" si="9"/>
        <v>0.142</v>
      </c>
    </row>
    <row r="100" spans="1:7" ht="12.75">
      <c r="A100" s="27" t="s">
        <v>162</v>
      </c>
      <c r="B100" s="31">
        <f>ROUND(B101/10*12,4)</f>
        <v>0.8016</v>
      </c>
      <c r="C100" s="30">
        <f>ROUND(B100*RAW!$K$20,4)</f>
        <v>0</v>
      </c>
      <c r="D100" s="30">
        <f>INPUT!$B$17</f>
        <v>0.0463</v>
      </c>
      <c r="E100" s="30">
        <f>ROUND(E97/32*12,4)</f>
        <v>0</v>
      </c>
      <c r="F100" s="26">
        <f>ROUND($F$9/32*12,4)</f>
        <v>0.1065</v>
      </c>
      <c r="G100" s="30">
        <f t="shared" si="9"/>
        <v>0.1528</v>
      </c>
    </row>
    <row r="101" spans="1:7" ht="12.75">
      <c r="A101" s="22" t="s">
        <v>64</v>
      </c>
      <c r="B101" s="31">
        <v>0.667969</v>
      </c>
      <c r="C101" s="30">
        <f>ROUND(B101*RAW!$K$20,4)</f>
        <v>0</v>
      </c>
      <c r="D101" s="30">
        <f>INPUT!$B$18</f>
        <v>0.0544</v>
      </c>
      <c r="E101" s="30">
        <f>ROUND(E98/32*10,4)</f>
        <v>0</v>
      </c>
      <c r="F101" s="26">
        <f>ROUND($F$9/32*10,4)</f>
        <v>0.0888</v>
      </c>
      <c r="G101" s="30">
        <f t="shared" si="9"/>
        <v>0.1432</v>
      </c>
    </row>
    <row r="102" spans="1:7" ht="12.75">
      <c r="A102" s="22" t="s">
        <v>65</v>
      </c>
      <c r="B102" s="31">
        <v>0.534375</v>
      </c>
      <c r="C102" s="30">
        <f>ROUND(B102*RAW!$K$20,4)</f>
        <v>0</v>
      </c>
      <c r="D102" s="30">
        <f>INPUT!$B$19</f>
        <v>0</v>
      </c>
      <c r="E102" s="30">
        <f>ROUND(E98/4,4)</f>
        <v>0</v>
      </c>
      <c r="F102" s="26">
        <f>ROUND($F$9/4,4)</f>
        <v>0.071</v>
      </c>
      <c r="G102" s="30">
        <f t="shared" si="9"/>
        <v>0.071</v>
      </c>
    </row>
    <row r="103" spans="1:7" ht="12.75">
      <c r="A103" s="22" t="s">
        <v>66</v>
      </c>
      <c r="B103" s="31">
        <v>0.267188</v>
      </c>
      <c r="C103" s="30">
        <f>ROUND(B103*RAW!$K$20,4)</f>
        <v>0</v>
      </c>
      <c r="D103" s="30">
        <f>INPUT!$B$21</f>
        <v>0.0263</v>
      </c>
      <c r="E103" s="30">
        <f>ROUND(E98/32*4,4)</f>
        <v>0</v>
      </c>
      <c r="F103" s="26">
        <f>ROUND($F$9/8,4)</f>
        <v>0.0355</v>
      </c>
      <c r="G103" s="30">
        <f t="shared" si="9"/>
        <v>0.0618</v>
      </c>
    </row>
    <row r="104" spans="1:7" ht="12.75">
      <c r="A104" s="22" t="s">
        <v>67</v>
      </c>
      <c r="B104" s="31">
        <v>2.1375</v>
      </c>
      <c r="C104" s="30">
        <f>ROUND(B104*RAW!$K$20,4)</f>
        <v>0</v>
      </c>
      <c r="D104" s="30">
        <f>INPUT!$B$22</f>
        <v>0.0764</v>
      </c>
      <c r="E104" s="30">
        <f>E98</f>
        <v>0</v>
      </c>
      <c r="F104" s="30">
        <f>ROUND($F$9,4)</f>
        <v>0.284</v>
      </c>
      <c r="G104" s="30">
        <f t="shared" si="9"/>
        <v>0.3604</v>
      </c>
    </row>
    <row r="105" spans="1:7" ht="12.75">
      <c r="A105" s="22" t="s">
        <v>69</v>
      </c>
      <c r="B105" s="31">
        <v>0.025049</v>
      </c>
      <c r="C105" s="30">
        <f>ROUND(B105*RAW!$K$20,4)</f>
        <v>0</v>
      </c>
      <c r="D105" s="26"/>
      <c r="E105" s="26"/>
      <c r="F105" s="30">
        <f>F103/32*3</f>
        <v>0.0033281249999999995</v>
      </c>
      <c r="G105" s="30">
        <f t="shared" si="9"/>
        <v>0.0033</v>
      </c>
    </row>
    <row r="106" spans="1:7" ht="12.75">
      <c r="A106" s="22" t="s">
        <v>70</v>
      </c>
      <c r="B106" s="31">
        <v>0.033399</v>
      </c>
      <c r="C106" s="30">
        <f>ROUND(B106*RAW!$K$20,4)</f>
        <v>0</v>
      </c>
      <c r="D106" s="26"/>
      <c r="E106" s="26"/>
      <c r="F106" s="30">
        <f>F103/8</f>
        <v>0.0044375</v>
      </c>
      <c r="G106" s="30">
        <f t="shared" si="9"/>
        <v>0.0044</v>
      </c>
    </row>
    <row r="107" spans="1:7" ht="13.5" thickBot="1">
      <c r="A107" s="24" t="s">
        <v>71</v>
      </c>
      <c r="B107" s="31">
        <v>0.050098</v>
      </c>
      <c r="C107" s="30">
        <f>ROUND(B107*RAW!$K$20,4)</f>
        <v>0</v>
      </c>
      <c r="D107" s="26"/>
      <c r="E107" s="26"/>
      <c r="F107" s="30">
        <f>F103/16*3</f>
        <v>0.006656249999999999</v>
      </c>
      <c r="G107" s="30">
        <f t="shared" si="9"/>
        <v>0.0067</v>
      </c>
    </row>
    <row r="108" spans="1:2" ht="14.25" thickBot="1" thickTop="1">
      <c r="A108" s="21" t="s">
        <v>72</v>
      </c>
      <c r="B108" s="32"/>
    </row>
    <row r="109" spans="1:7" ht="13.5" thickTop="1">
      <c r="A109" s="23" t="s">
        <v>63</v>
      </c>
      <c r="B109" s="31">
        <v>4.255</v>
      </c>
      <c r="C109" s="30">
        <f>ROUND(B109*RAW!$K$22,4)</f>
        <v>0</v>
      </c>
      <c r="D109" s="30">
        <f>INPUT!$B$14</f>
        <v>0</v>
      </c>
      <c r="E109" s="30">
        <f>E110*2</f>
        <v>0</v>
      </c>
      <c r="F109" s="26">
        <f>+F110*2</f>
        <v>0.568</v>
      </c>
      <c r="G109" s="30">
        <f aca="true" t="shared" si="10" ref="G109:G116">ROUND(SUM(C109:F109),4)</f>
        <v>0.568</v>
      </c>
    </row>
    <row r="110" spans="1:7" ht="12.75">
      <c r="A110" s="22" t="s">
        <v>14</v>
      </c>
      <c r="B110" s="31">
        <v>2.1275</v>
      </c>
      <c r="C110" s="30">
        <f>ROUND(B110*RAW!$K$22,4)</f>
        <v>0</v>
      </c>
      <c r="D110" s="30">
        <f>INPUT!$B$15</f>
        <v>0</v>
      </c>
      <c r="E110" s="30">
        <f>INPUT!B$35</f>
        <v>0</v>
      </c>
      <c r="F110" s="26">
        <f>INPUT!$B$30</f>
        <v>0.284</v>
      </c>
      <c r="G110" s="30">
        <f t="shared" si="10"/>
        <v>0.284</v>
      </c>
    </row>
    <row r="111" spans="1:7" ht="12.75">
      <c r="A111" s="22" t="s">
        <v>15</v>
      </c>
      <c r="B111" s="31">
        <v>1.06375</v>
      </c>
      <c r="C111" s="30">
        <f>ROUND(B111*RAW!$K$22,4)</f>
        <v>0</v>
      </c>
      <c r="D111" s="30">
        <f>INPUT!$B$16</f>
        <v>0</v>
      </c>
      <c r="E111" s="30">
        <f>ROUND(E110/2,4)</f>
        <v>0</v>
      </c>
      <c r="F111" s="26">
        <f>ROUND($F$9/2,4)</f>
        <v>0.142</v>
      </c>
      <c r="G111" s="30">
        <f t="shared" si="10"/>
        <v>0.142</v>
      </c>
    </row>
    <row r="112" spans="1:7" ht="12.75">
      <c r="A112" s="27" t="s">
        <v>162</v>
      </c>
      <c r="B112" s="31">
        <f>B113/10*12</f>
        <v>0.7978128</v>
      </c>
      <c r="C112" s="30">
        <f>ROUND(B112*RAW!$K$22,4)</f>
        <v>0</v>
      </c>
      <c r="D112" s="30">
        <f>INPUT!$B$17</f>
        <v>0.0463</v>
      </c>
      <c r="E112" s="30">
        <f>ROUND(E109/32*12,4)</f>
        <v>0</v>
      </c>
      <c r="F112" s="26">
        <f>ROUND($F$9/32*12,4)</f>
        <v>0.1065</v>
      </c>
      <c r="G112" s="30">
        <f t="shared" si="10"/>
        <v>0.1528</v>
      </c>
    </row>
    <row r="113" spans="1:7" ht="12.75">
      <c r="A113" s="22" t="s">
        <v>64</v>
      </c>
      <c r="B113" s="31">
        <v>0.664844</v>
      </c>
      <c r="C113" s="30">
        <f>ROUND(B113*RAW!$K$22,4)</f>
        <v>0</v>
      </c>
      <c r="D113" s="30">
        <f>INPUT!$B$18</f>
        <v>0.0544</v>
      </c>
      <c r="E113" s="30">
        <f>ROUND(E110/32*10,4)</f>
        <v>0</v>
      </c>
      <c r="F113" s="26">
        <f>ROUND($F$9/32*10,4)</f>
        <v>0.0888</v>
      </c>
      <c r="G113" s="30">
        <f t="shared" si="10"/>
        <v>0.1432</v>
      </c>
    </row>
    <row r="114" spans="1:7" ht="12.75">
      <c r="A114" s="22" t="s">
        <v>65</v>
      </c>
      <c r="B114" s="31">
        <v>0.531875</v>
      </c>
      <c r="C114" s="30">
        <f>ROUND(B114*RAW!$K$22,4)</f>
        <v>0</v>
      </c>
      <c r="D114" s="30">
        <f>INPUT!$B$19</f>
        <v>0</v>
      </c>
      <c r="E114" s="30">
        <f>ROUND(E110/4,4)</f>
        <v>0</v>
      </c>
      <c r="F114" s="26">
        <f>ROUND($F$9/4,4)</f>
        <v>0.071</v>
      </c>
      <c r="G114" s="30">
        <f t="shared" si="10"/>
        <v>0.071</v>
      </c>
    </row>
    <row r="115" spans="1:7" ht="12.75">
      <c r="A115" s="22" t="s">
        <v>66</v>
      </c>
      <c r="B115" s="31">
        <v>0.265938</v>
      </c>
      <c r="C115" s="30">
        <f>ROUND(B115*RAW!$K$22,4)</f>
        <v>0</v>
      </c>
      <c r="D115" s="30">
        <f>INPUT!$B$21</f>
        <v>0.0263</v>
      </c>
      <c r="E115" s="30">
        <f>ROUND(E110/32*4,4)</f>
        <v>0</v>
      </c>
      <c r="F115" s="26">
        <f>ROUND($F$9/8,4)</f>
        <v>0.0355</v>
      </c>
      <c r="G115" s="30">
        <f t="shared" si="10"/>
        <v>0.0618</v>
      </c>
    </row>
    <row r="116" spans="1:7" ht="13.5" thickBot="1">
      <c r="A116" s="24" t="s">
        <v>67</v>
      </c>
      <c r="B116" s="31">
        <v>2.1275</v>
      </c>
      <c r="C116" s="30">
        <f>ROUND(B116*RAW!$K$22,4)</f>
        <v>0</v>
      </c>
      <c r="D116" s="30">
        <f>INPUT!$B$22</f>
        <v>0.0764</v>
      </c>
      <c r="E116" s="30">
        <f>E110</f>
        <v>0</v>
      </c>
      <c r="F116" s="26">
        <f>ROUND($F$9,4)</f>
        <v>0.284</v>
      </c>
      <c r="G116" s="30">
        <f t="shared" si="10"/>
        <v>0.3604</v>
      </c>
    </row>
    <row r="117" spans="1:2" ht="14.25" thickBot="1" thickTop="1">
      <c r="A117" s="21" t="s">
        <v>55</v>
      </c>
      <c r="B117" s="32"/>
    </row>
    <row r="118" spans="1:7" ht="13.5" thickTop="1">
      <c r="A118" s="23" t="s">
        <v>63</v>
      </c>
      <c r="B118" s="31">
        <f>B119*2</f>
        <v>4.195</v>
      </c>
      <c r="C118" s="30">
        <f>ROUND(B118*RAW!$K$23,4)</f>
        <v>0</v>
      </c>
      <c r="D118" s="30">
        <f>INPUT!$B$14</f>
        <v>0</v>
      </c>
      <c r="E118" s="30">
        <f>E119*2</f>
        <v>0</v>
      </c>
      <c r="F118" s="26">
        <f>+F119*2</f>
        <v>0.568</v>
      </c>
      <c r="G118" s="30">
        <f aca="true" t="shared" si="11" ref="G118:G125">ROUND(SUM(C118:F118),4)</f>
        <v>0.568</v>
      </c>
    </row>
    <row r="119" spans="1:7" ht="12.75">
      <c r="A119" s="22" t="s">
        <v>14</v>
      </c>
      <c r="B119" s="31">
        <v>2.0975</v>
      </c>
      <c r="C119" s="30">
        <f>ROUND(B119*RAW!$K$23,4)</f>
        <v>0</v>
      </c>
      <c r="D119" s="30">
        <f>INPUT!$B$15</f>
        <v>0</v>
      </c>
      <c r="E119" s="30">
        <f>INPUT!B$35</f>
        <v>0</v>
      </c>
      <c r="F119" s="26">
        <f>INPUT!$B$30</f>
        <v>0.284</v>
      </c>
      <c r="G119" s="30">
        <f t="shared" si="11"/>
        <v>0.284</v>
      </c>
    </row>
    <row r="120" spans="1:7" ht="12.75">
      <c r="A120" s="22" t="s">
        <v>15</v>
      </c>
      <c r="B120" s="31">
        <f>B119/2</f>
        <v>1.04875</v>
      </c>
      <c r="C120" s="30">
        <f>ROUND(B120*RAW!$K$23,4)</f>
        <v>0</v>
      </c>
      <c r="D120" s="30">
        <f>INPUT!$B$16</f>
        <v>0</v>
      </c>
      <c r="E120" s="30">
        <f>ROUND(E119/2,4)</f>
        <v>0</v>
      </c>
      <c r="F120" s="26">
        <f>ROUND($F$9/2,4)</f>
        <v>0.142</v>
      </c>
      <c r="G120" s="30">
        <f t="shared" si="11"/>
        <v>0.142</v>
      </c>
    </row>
    <row r="121" spans="1:7" ht="12.75">
      <c r="A121" s="27" t="s">
        <v>162</v>
      </c>
      <c r="B121" s="31">
        <f>B122/10*12</f>
        <v>0.7865625</v>
      </c>
      <c r="C121" s="30">
        <f>ROUND(B121*RAW!$K$23,4)</f>
        <v>0</v>
      </c>
      <c r="D121" s="30">
        <f>INPUT!$B$17</f>
        <v>0.0463</v>
      </c>
      <c r="E121" s="30">
        <f>ROUND(E118/32*12,4)</f>
        <v>0</v>
      </c>
      <c r="F121" s="26">
        <f>ROUND($F$9/32*12,4)</f>
        <v>0.1065</v>
      </c>
      <c r="G121" s="30">
        <f t="shared" si="11"/>
        <v>0.1528</v>
      </c>
    </row>
    <row r="122" spans="1:7" ht="12.75">
      <c r="A122" s="22" t="s">
        <v>64</v>
      </c>
      <c r="B122" s="31">
        <f>B119/32*10</f>
        <v>0.65546875</v>
      </c>
      <c r="C122" s="30">
        <f>ROUND(B122*RAW!$K$23,4)</f>
        <v>0</v>
      </c>
      <c r="D122" s="30">
        <f>INPUT!$B$18</f>
        <v>0.0544</v>
      </c>
      <c r="E122" s="30">
        <f>ROUND(E119/32*10,4)</f>
        <v>0</v>
      </c>
      <c r="F122" s="26">
        <f>ROUND($F$9/32*10,4)</f>
        <v>0.0888</v>
      </c>
      <c r="G122" s="30">
        <f t="shared" si="11"/>
        <v>0.1432</v>
      </c>
    </row>
    <row r="123" spans="1:7" ht="12.75">
      <c r="A123" s="22" t="s">
        <v>65</v>
      </c>
      <c r="B123" s="31">
        <f>B120/2</f>
        <v>0.524375</v>
      </c>
      <c r="C123" s="30">
        <f>ROUND(B123*RAW!$K$23,4)</f>
        <v>0</v>
      </c>
      <c r="D123" s="30">
        <f>INPUT!$B$19</f>
        <v>0</v>
      </c>
      <c r="E123" s="30">
        <f>ROUND(E119/4,4)</f>
        <v>0</v>
      </c>
      <c r="F123" s="26">
        <f>ROUND($F$9/4,4)</f>
        <v>0.071</v>
      </c>
      <c r="G123" s="30">
        <f t="shared" si="11"/>
        <v>0.071</v>
      </c>
    </row>
    <row r="124" spans="1:7" ht="12.75">
      <c r="A124" s="22" t="s">
        <v>66</v>
      </c>
      <c r="B124" s="31">
        <f>B123/2</f>
        <v>0.2621875</v>
      </c>
      <c r="C124" s="30">
        <f>ROUND(B124*RAW!$K$23,4)</f>
        <v>0</v>
      </c>
      <c r="D124" s="30">
        <f>INPUT!$B$21</f>
        <v>0.0263</v>
      </c>
      <c r="E124" s="30">
        <f>ROUND(E119/32*4,4)</f>
        <v>0</v>
      </c>
      <c r="F124" s="26">
        <f>ROUND($F$9/8,4)</f>
        <v>0.0355</v>
      </c>
      <c r="G124" s="30">
        <f t="shared" si="11"/>
        <v>0.0618</v>
      </c>
    </row>
    <row r="125" spans="1:7" ht="13.5" thickBot="1">
      <c r="A125" s="24" t="s">
        <v>67</v>
      </c>
      <c r="B125" s="31">
        <f>B119</f>
        <v>2.0975</v>
      </c>
      <c r="C125" s="30">
        <f>ROUND(B125*RAW!$K$23,4)</f>
        <v>0</v>
      </c>
      <c r="D125" s="30">
        <f>INPUT!$B$22</f>
        <v>0.0764</v>
      </c>
      <c r="E125" s="30">
        <f>E119</f>
        <v>0</v>
      </c>
      <c r="F125" s="26">
        <f>ROUND($F$9,4)</f>
        <v>0.284</v>
      </c>
      <c r="G125" s="30">
        <f t="shared" si="11"/>
        <v>0.3604</v>
      </c>
    </row>
    <row r="126" spans="1:2" ht="14.25" thickBot="1" thickTop="1">
      <c r="A126" s="21" t="s">
        <v>56</v>
      </c>
      <c r="B126" s="32"/>
    </row>
    <row r="127" spans="1:7" ht="13.5" thickTop="1">
      <c r="A127" s="23" t="s">
        <v>63</v>
      </c>
      <c r="B127" s="31">
        <f>B128*2</f>
        <v>4.16</v>
      </c>
      <c r="C127" s="30">
        <f>ROUND(B127*RAW!$K$24,4)</f>
        <v>0</v>
      </c>
      <c r="D127" s="30">
        <f>INPUT!$B$14</f>
        <v>0</v>
      </c>
      <c r="E127" s="30">
        <f>E128*2</f>
        <v>0</v>
      </c>
      <c r="F127" s="26">
        <f>+F128*2</f>
        <v>0.568</v>
      </c>
      <c r="G127" s="30">
        <f aca="true" t="shared" si="12" ref="G127:G134">ROUND(SUM(C127:F127),4)</f>
        <v>0.568</v>
      </c>
    </row>
    <row r="128" spans="1:7" ht="12.75">
      <c r="A128" s="22" t="s">
        <v>14</v>
      </c>
      <c r="B128" s="31">
        <v>2.08</v>
      </c>
      <c r="C128" s="30">
        <f>ROUND(B128*RAW!$K$24,4)</f>
        <v>0</v>
      </c>
      <c r="D128" s="30">
        <f>INPUT!$B$15</f>
        <v>0</v>
      </c>
      <c r="E128" s="30">
        <f>INPUT!B$35</f>
        <v>0</v>
      </c>
      <c r="F128" s="26">
        <f>INPUT!$B$30</f>
        <v>0.284</v>
      </c>
      <c r="G128" s="30">
        <f t="shared" si="12"/>
        <v>0.284</v>
      </c>
    </row>
    <row r="129" spans="1:7" ht="12.75">
      <c r="A129" s="22" t="s">
        <v>15</v>
      </c>
      <c r="B129" s="31">
        <f>B128/2</f>
        <v>1.04</v>
      </c>
      <c r="C129" s="30">
        <f>ROUND(B129*RAW!$K$24,4)</f>
        <v>0</v>
      </c>
      <c r="D129" s="30">
        <f>INPUT!$B$16</f>
        <v>0</v>
      </c>
      <c r="E129" s="30">
        <f>ROUND(E128/2,4)</f>
        <v>0</v>
      </c>
      <c r="F129" s="26">
        <f>ROUND($F$9/2,4)</f>
        <v>0.142</v>
      </c>
      <c r="G129" s="30">
        <f t="shared" si="12"/>
        <v>0.142</v>
      </c>
    </row>
    <row r="130" spans="1:7" ht="12.75">
      <c r="A130" s="27" t="s">
        <v>162</v>
      </c>
      <c r="B130" s="31">
        <f>B131/10*12</f>
        <v>0.78</v>
      </c>
      <c r="C130" s="30">
        <f>ROUND(B130*RAW!$K$24,4)</f>
        <v>0</v>
      </c>
      <c r="D130" s="30">
        <f>INPUT!$B$17</f>
        <v>0.0463</v>
      </c>
      <c r="E130" s="30">
        <f>ROUND(E127/32*12,4)</f>
        <v>0</v>
      </c>
      <c r="F130" s="26">
        <f>ROUND($F$9/32*12,4)</f>
        <v>0.1065</v>
      </c>
      <c r="G130" s="30">
        <f t="shared" si="12"/>
        <v>0.1528</v>
      </c>
    </row>
    <row r="131" spans="1:7" ht="12.75">
      <c r="A131" s="22" t="s">
        <v>64</v>
      </c>
      <c r="B131" s="31">
        <f>B128/32*10</f>
        <v>0.65</v>
      </c>
      <c r="C131" s="30">
        <f>ROUND(B131*RAW!$K$24,4)</f>
        <v>0</v>
      </c>
      <c r="D131" s="30">
        <f>INPUT!$B$18</f>
        <v>0.0544</v>
      </c>
      <c r="E131" s="30">
        <f>ROUND(E128/32*10,4)</f>
        <v>0</v>
      </c>
      <c r="F131" s="26">
        <f>ROUND($F$9/32*10,4)</f>
        <v>0.0888</v>
      </c>
      <c r="G131" s="30">
        <f t="shared" si="12"/>
        <v>0.1432</v>
      </c>
    </row>
    <row r="132" spans="1:7" ht="12.75">
      <c r="A132" s="22" t="s">
        <v>65</v>
      </c>
      <c r="B132" s="31">
        <f>B129/2</f>
        <v>0.52</v>
      </c>
      <c r="C132" s="30">
        <f>ROUND(B132*RAW!$K$24,4)</f>
        <v>0</v>
      </c>
      <c r="D132" s="30">
        <f>INPUT!$B$19</f>
        <v>0</v>
      </c>
      <c r="E132" s="30">
        <f>ROUND(E128/4,4)</f>
        <v>0</v>
      </c>
      <c r="F132" s="26">
        <f>ROUND($F$9/4,4)</f>
        <v>0.071</v>
      </c>
      <c r="G132" s="30">
        <f t="shared" si="12"/>
        <v>0.071</v>
      </c>
    </row>
    <row r="133" spans="1:7" ht="12.75">
      <c r="A133" s="22" t="s">
        <v>66</v>
      </c>
      <c r="B133" s="31">
        <f>B132/2</f>
        <v>0.26</v>
      </c>
      <c r="C133" s="30">
        <f>ROUND(B133*RAW!$K$24,4)</f>
        <v>0</v>
      </c>
      <c r="D133" s="30">
        <f>INPUT!$B$21</f>
        <v>0.0263</v>
      </c>
      <c r="E133" s="30">
        <f>ROUND(E128/32*4,4)</f>
        <v>0</v>
      </c>
      <c r="F133" s="26">
        <f>ROUND($F$9/8,4)</f>
        <v>0.0355</v>
      </c>
      <c r="G133" s="30">
        <f t="shared" si="12"/>
        <v>0.0618</v>
      </c>
    </row>
    <row r="134" spans="1:7" ht="13.5" thickBot="1">
      <c r="A134" s="24" t="s">
        <v>67</v>
      </c>
      <c r="B134" s="31">
        <f>B128</f>
        <v>2.08</v>
      </c>
      <c r="C134" s="30">
        <f>ROUND(B134*RAW!$K$24,4)</f>
        <v>0</v>
      </c>
      <c r="D134" s="30">
        <f>INPUT!$B$22</f>
        <v>0.0764</v>
      </c>
      <c r="E134" s="30">
        <f>E128</f>
        <v>0</v>
      </c>
      <c r="F134" s="26">
        <f>ROUND($F$9,4)</f>
        <v>0.284</v>
      </c>
      <c r="G134" s="30">
        <f t="shared" si="12"/>
        <v>0.3604</v>
      </c>
    </row>
    <row r="135" spans="1:2" ht="14.25" thickBot="1" thickTop="1">
      <c r="A135" s="21" t="s">
        <v>73</v>
      </c>
      <c r="B135" s="32"/>
    </row>
    <row r="136" spans="1:7" ht="13.5" thickTop="1">
      <c r="A136" s="23" t="s">
        <v>63</v>
      </c>
      <c r="B136" s="31">
        <v>4.255</v>
      </c>
      <c r="C136" s="30">
        <f>ROUND(B136*RAW!$K$22,4)</f>
        <v>0</v>
      </c>
      <c r="D136" s="30"/>
      <c r="E136" s="30">
        <f>E137*2</f>
        <v>0</v>
      </c>
      <c r="F136" s="26">
        <f>+F137*2</f>
        <v>0.568</v>
      </c>
      <c r="G136" s="30">
        <f aca="true" t="shared" si="13" ref="G136:G143">ROUND(SUM(C136:F136),4)</f>
        <v>0.568</v>
      </c>
    </row>
    <row r="137" spans="1:7" ht="12.75">
      <c r="A137" s="22" t="s">
        <v>14</v>
      </c>
      <c r="B137" s="31">
        <v>2.1275</v>
      </c>
      <c r="C137" s="30">
        <f>ROUND(B137*RAW!$K$22,4)</f>
        <v>0</v>
      </c>
      <c r="D137" s="30"/>
      <c r="E137" s="30">
        <f>INPUT!B$35</f>
        <v>0</v>
      </c>
      <c r="F137" s="26">
        <f>INPUT!$B$30</f>
        <v>0.284</v>
      </c>
      <c r="G137" s="30">
        <f t="shared" si="13"/>
        <v>0.284</v>
      </c>
    </row>
    <row r="138" spans="1:7" ht="12.75">
      <c r="A138" s="22" t="s">
        <v>15</v>
      </c>
      <c r="B138" s="31">
        <v>1.06375</v>
      </c>
      <c r="C138" s="30">
        <f>ROUND(B138*RAW!$K$22,4)</f>
        <v>0</v>
      </c>
      <c r="D138" s="30"/>
      <c r="E138" s="30">
        <f>ROUND(E137/2,4)</f>
        <v>0</v>
      </c>
      <c r="F138" s="26">
        <f>ROUND($F$9/2,4)</f>
        <v>0.142</v>
      </c>
      <c r="G138" s="30">
        <f t="shared" si="13"/>
        <v>0.142</v>
      </c>
    </row>
    <row r="139" spans="1:7" ht="12.75">
      <c r="A139" s="27" t="s">
        <v>162</v>
      </c>
      <c r="B139" s="31">
        <f>B140/10*12</f>
        <v>0.7978128</v>
      </c>
      <c r="C139" s="30">
        <f>ROUND(B139*RAW!$K$22,4)</f>
        <v>0</v>
      </c>
      <c r="D139" s="30"/>
      <c r="E139" s="30">
        <f>ROUND(E136/32*12,4)</f>
        <v>0</v>
      </c>
      <c r="F139" s="26">
        <f>ROUND($F$9/32*12,4)</f>
        <v>0.1065</v>
      </c>
      <c r="G139" s="30">
        <f t="shared" si="13"/>
        <v>0.1065</v>
      </c>
    </row>
    <row r="140" spans="1:7" ht="12.75">
      <c r="A140" s="22" t="s">
        <v>64</v>
      </c>
      <c r="B140" s="31">
        <v>0.664844</v>
      </c>
      <c r="C140" s="30">
        <f>ROUND(B140*RAW!$K$22,4)</f>
        <v>0</v>
      </c>
      <c r="D140" s="30"/>
      <c r="E140" s="30">
        <f>ROUND(E137/32*10,4)</f>
        <v>0</v>
      </c>
      <c r="F140" s="26">
        <f>ROUND($F$9/32*10,4)</f>
        <v>0.0888</v>
      </c>
      <c r="G140" s="30">
        <f t="shared" si="13"/>
        <v>0.0888</v>
      </c>
    </row>
    <row r="141" spans="1:7" ht="12.75">
      <c r="A141" s="22" t="s">
        <v>65</v>
      </c>
      <c r="B141" s="31">
        <v>0.531875</v>
      </c>
      <c r="C141" s="30">
        <f>ROUND(B141*RAW!$K$22,4)</f>
        <v>0</v>
      </c>
      <c r="D141" s="30"/>
      <c r="E141" s="30">
        <f>ROUND(E137/4,4)</f>
        <v>0</v>
      </c>
      <c r="F141" s="26">
        <f>ROUND($F$9/4,4)</f>
        <v>0.071</v>
      </c>
      <c r="G141" s="30">
        <f t="shared" si="13"/>
        <v>0.071</v>
      </c>
    </row>
    <row r="142" spans="1:7" ht="12.75">
      <c r="A142" s="22" t="s">
        <v>66</v>
      </c>
      <c r="B142" s="31">
        <v>0.265938</v>
      </c>
      <c r="C142" s="30">
        <f>ROUND(B142*RAW!$K$22,4)</f>
        <v>0</v>
      </c>
      <c r="D142" s="30"/>
      <c r="E142" s="30">
        <f>ROUND(E137/32*4,4)</f>
        <v>0</v>
      </c>
      <c r="F142" s="26">
        <f>ROUND($F$9/8,4)</f>
        <v>0.0355</v>
      </c>
      <c r="G142" s="30">
        <f t="shared" si="13"/>
        <v>0.0355</v>
      </c>
    </row>
    <row r="143" spans="1:7" ht="12.75">
      <c r="A143" s="22" t="s">
        <v>67</v>
      </c>
      <c r="B143" s="31">
        <v>2.1275</v>
      </c>
      <c r="C143" s="30">
        <f>ROUND(B143*RAW!$K$22,4)</f>
        <v>0</v>
      </c>
      <c r="D143" s="30"/>
      <c r="E143" s="30">
        <f>E137</f>
        <v>0</v>
      </c>
      <c r="F143" s="26">
        <f>ROUND($F$9,4)</f>
        <v>0.284</v>
      </c>
      <c r="G143" s="30">
        <f t="shared" si="13"/>
        <v>0.284</v>
      </c>
    </row>
  </sheetData>
  <sheetProtection/>
  <printOptions horizontalCentered="1"/>
  <pageMargins left="0.75" right="0.75" top="1" bottom="1" header="0.5" footer="0.5"/>
  <pageSetup horizontalDpi="300" verticalDpi="300" orientation="portrait" r:id="rId1"/>
  <rowBreaks count="2" manualBreakCount="2">
    <brk id="41" max="65535" man="1"/>
    <brk id="79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8"/>
  <sheetViews>
    <sheetView zoomScale="75" zoomScaleNormal="75" zoomScalePageLayoutView="0" workbookViewId="0" topLeftCell="A4">
      <pane xSplit="1" ySplit="4" topLeftCell="B94" activePane="bottomRight" state="frozen"/>
      <selection pane="topLeft" activeCell="A4" sqref="A4"/>
      <selection pane="topRight" activeCell="B4" sqref="B4"/>
      <selection pane="bottomLeft" activeCell="A8" sqref="A8"/>
      <selection pane="bottomRight" activeCell="K108" sqref="K108"/>
    </sheetView>
  </sheetViews>
  <sheetFormatPr defaultColWidth="9.140625" defaultRowHeight="12.75"/>
  <cols>
    <col min="1" max="1" width="15.8515625" style="0" customWidth="1"/>
    <col min="2" max="2" width="12.00390625" style="0" customWidth="1"/>
    <col min="3" max="3" width="14.8515625" style="0" customWidth="1"/>
    <col min="4" max="5" width="12.57421875" style="0" customWidth="1"/>
    <col min="6" max="6" width="14.421875" style="0" customWidth="1"/>
    <col min="7" max="7" width="12.57421875" style="0" customWidth="1"/>
    <col min="8" max="8" width="8.8515625" style="0" customWidth="1"/>
    <col min="9" max="9" width="8.28125" style="0" customWidth="1"/>
    <col min="10" max="11" width="10.8515625" style="0" customWidth="1"/>
    <col min="12" max="13" width="12.57421875" style="0" customWidth="1"/>
    <col min="14" max="14" width="13.8515625" style="0" customWidth="1"/>
    <col min="15" max="15" width="11.00390625" style="0" customWidth="1"/>
    <col min="16" max="16" width="12.7109375" style="0" customWidth="1"/>
    <col min="17" max="17" width="8.28125" style="0" customWidth="1"/>
    <col min="18" max="18" width="11.57421875" style="0" customWidth="1"/>
    <col min="19" max="19" width="9.140625" style="0" hidden="1" customWidth="1"/>
    <col min="20" max="20" width="10.57421875" style="0" customWidth="1"/>
    <col min="21" max="21" width="12.8515625" style="127" hidden="1" customWidth="1"/>
    <col min="22" max="22" width="7.28125" style="0" customWidth="1"/>
    <col min="23" max="23" width="12.8515625" style="0" customWidth="1"/>
  </cols>
  <sheetData>
    <row r="1" spans="1:18" ht="12.75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12.75">
      <c r="A2" s="33" t="s">
        <v>74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3.5" thickBot="1">
      <c r="A3" s="34">
        <f ca="1">NOW()</f>
        <v>41991.352715625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2:21" ht="13.5" thickTop="1">
      <c r="B4" s="19">
        <v>1</v>
      </c>
      <c r="C4" s="19">
        <v>2</v>
      </c>
      <c r="D4" s="19">
        <v>3</v>
      </c>
      <c r="E4" s="213"/>
      <c r="F4" s="211">
        <v>4</v>
      </c>
      <c r="G4" s="19">
        <v>5</v>
      </c>
      <c r="H4" s="19">
        <v>6</v>
      </c>
      <c r="I4" s="19">
        <v>7</v>
      </c>
      <c r="J4" s="19">
        <v>8</v>
      </c>
      <c r="K4" s="19">
        <v>9</v>
      </c>
      <c r="L4" s="163">
        <v>10</v>
      </c>
      <c r="M4" s="19">
        <v>11</v>
      </c>
      <c r="N4" s="19">
        <v>12</v>
      </c>
      <c r="O4" s="19">
        <v>13</v>
      </c>
      <c r="P4" s="19">
        <v>14</v>
      </c>
      <c r="Q4" s="19">
        <v>15</v>
      </c>
      <c r="R4" s="163">
        <v>16</v>
      </c>
      <c r="T4" s="124">
        <v>18</v>
      </c>
      <c r="U4" s="128">
        <v>19</v>
      </c>
    </row>
    <row r="5" spans="1:21" ht="12.75">
      <c r="A5" t="s">
        <v>75</v>
      </c>
      <c r="B5" s="174" t="s">
        <v>76</v>
      </c>
      <c r="C5" s="174" t="s">
        <v>77</v>
      </c>
      <c r="D5" s="174" t="s">
        <v>78</v>
      </c>
      <c r="E5" s="214" t="s">
        <v>148</v>
      </c>
      <c r="G5" s="174" t="s">
        <v>145</v>
      </c>
      <c r="H5" s="175">
        <f>INPUT!B70</f>
        <v>0.035</v>
      </c>
      <c r="I5" s="174" t="s">
        <v>79</v>
      </c>
      <c r="J5" s="174" t="s">
        <v>76</v>
      </c>
      <c r="K5" s="174" t="s">
        <v>78</v>
      </c>
      <c r="L5" s="176"/>
      <c r="M5" s="174"/>
      <c r="N5" s="174"/>
      <c r="O5" s="174" t="s">
        <v>80</v>
      </c>
      <c r="P5" s="174"/>
      <c r="Q5" s="177">
        <f>RETAIL_PRFT</f>
        <v>0.027</v>
      </c>
      <c r="R5" s="176"/>
      <c r="S5" s="178"/>
      <c r="T5" s="179"/>
      <c r="U5" s="129"/>
    </row>
    <row r="6" spans="2:24" ht="12.75">
      <c r="B6" s="174" t="s">
        <v>81</v>
      </c>
      <c r="C6" s="174" t="s">
        <v>82</v>
      </c>
      <c r="D6" s="174" t="s">
        <v>60</v>
      </c>
      <c r="E6" s="214" t="s">
        <v>149</v>
      </c>
      <c r="G6" s="174" t="s">
        <v>83</v>
      </c>
      <c r="H6" s="174" t="s">
        <v>84</v>
      </c>
      <c r="I6" s="174" t="s">
        <v>85</v>
      </c>
      <c r="J6" s="174" t="s">
        <v>86</v>
      </c>
      <c r="K6" s="174" t="s">
        <v>86</v>
      </c>
      <c r="L6" s="176" t="s">
        <v>144</v>
      </c>
      <c r="M6" s="174" t="s">
        <v>146</v>
      </c>
      <c r="N6" s="174" t="s">
        <v>87</v>
      </c>
      <c r="O6" s="174" t="s">
        <v>88</v>
      </c>
      <c r="P6" s="174" t="s">
        <v>89</v>
      </c>
      <c r="Q6" s="174" t="s">
        <v>90</v>
      </c>
      <c r="R6" s="176" t="s">
        <v>144</v>
      </c>
      <c r="S6" s="178"/>
      <c r="T6" s="174" t="s">
        <v>146</v>
      </c>
      <c r="U6" s="129" t="s">
        <v>90</v>
      </c>
      <c r="V6" t="s">
        <v>75</v>
      </c>
      <c r="W6" s="126" t="s">
        <v>75</v>
      </c>
      <c r="X6" s="125" t="s">
        <v>75</v>
      </c>
    </row>
    <row r="7" spans="2:24" ht="13.5" thickBot="1">
      <c r="B7" s="180" t="s">
        <v>45</v>
      </c>
      <c r="C7" s="180" t="s">
        <v>53</v>
      </c>
      <c r="D7" s="180" t="s">
        <v>91</v>
      </c>
      <c r="E7" s="215"/>
      <c r="F7" s="212" t="s">
        <v>150</v>
      </c>
      <c r="G7" s="180" t="s">
        <v>79</v>
      </c>
      <c r="H7" s="180" t="s">
        <v>92</v>
      </c>
      <c r="I7" s="180" t="s">
        <v>92</v>
      </c>
      <c r="J7" s="180" t="s">
        <v>91</v>
      </c>
      <c r="K7" s="180" t="s">
        <v>91</v>
      </c>
      <c r="L7" s="181" t="s">
        <v>83</v>
      </c>
      <c r="M7" s="180" t="s">
        <v>83</v>
      </c>
      <c r="N7" s="180" t="s">
        <v>83</v>
      </c>
      <c r="O7" s="180" t="s">
        <v>45</v>
      </c>
      <c r="P7" s="180" t="s">
        <v>45</v>
      </c>
      <c r="Q7" s="180" t="s">
        <v>92</v>
      </c>
      <c r="R7" s="181" t="s">
        <v>90</v>
      </c>
      <c r="S7" s="178"/>
      <c r="T7" s="180" t="s">
        <v>90</v>
      </c>
      <c r="U7" s="130" t="s">
        <v>93</v>
      </c>
      <c r="V7" t="s">
        <v>75</v>
      </c>
      <c r="W7" t="s">
        <v>75</v>
      </c>
      <c r="X7" t="s">
        <v>75</v>
      </c>
    </row>
    <row r="8" ht="14.25" thickBot="1" thickTop="1">
      <c r="A8" s="38" t="s">
        <v>21</v>
      </c>
    </row>
    <row r="9" spans="1:21" ht="14.25" thickBot="1" thickTop="1">
      <c r="A9" s="21" t="s">
        <v>12</v>
      </c>
      <c r="B9" s="35">
        <f>'CNTNR COST'!G7</f>
        <v>1.1291</v>
      </c>
      <c r="C9" s="25">
        <v>0</v>
      </c>
      <c r="D9" s="41">
        <v>-0.1067</v>
      </c>
      <c r="E9" s="39">
        <f>ROUND($E$11*4,4)</f>
        <v>0</v>
      </c>
      <c r="F9" s="39">
        <f>ROUND($F$11*4,4)</f>
        <v>-0.0052</v>
      </c>
      <c r="G9" s="25">
        <f>ROUND(SUM(B9:F9),4)</f>
        <v>1.0172</v>
      </c>
      <c r="H9" s="25">
        <f>(G9/(1-$H$5))-G9</f>
        <v>0.03689326424870476</v>
      </c>
      <c r="I9" s="25">
        <f>ROUND(G9+H9,4)</f>
        <v>1.0541</v>
      </c>
      <c r="J9" s="25">
        <f>J11*4</f>
        <v>-0.522</v>
      </c>
      <c r="K9" s="41">
        <f>K11*4</f>
        <v>0.9748</v>
      </c>
      <c r="L9" s="164">
        <f aca="true" t="shared" si="0" ref="L9:L17">ROUND(SUM(I9:K9),4)</f>
        <v>1.5069</v>
      </c>
      <c r="M9" s="41">
        <v>2.8731</v>
      </c>
      <c r="N9" s="41">
        <f>ROUND(L9-(L9*WHSLE_DISCNT),4)</f>
        <v>1.3261</v>
      </c>
      <c r="O9" s="41">
        <f>ROUND(4*STORE_COST,4)</f>
        <v>0</v>
      </c>
      <c r="P9" s="114">
        <f>N9+O9</f>
        <v>1.3261</v>
      </c>
      <c r="Q9" s="41">
        <f>ROUND(P9/(1-RETAIL_PRFT)-P9,4)</f>
        <v>0.0368</v>
      </c>
      <c r="R9" s="167">
        <f>IF(ROUND(Q9+P9,2)&gt;L9,ROUND(Q9+P9,2),ROUND(L9+0.005,2))</f>
        <v>1.51</v>
      </c>
      <c r="S9" s="170">
        <v>0.1</v>
      </c>
      <c r="T9" s="171">
        <v>2.99</v>
      </c>
      <c r="U9" s="121">
        <f aca="true" t="shared" si="1" ref="U9:U17">R9-T9</f>
        <v>-1.4800000000000002</v>
      </c>
    </row>
    <row r="10" spans="1:21" ht="14.25" thickBot="1" thickTop="1">
      <c r="A10" s="21" t="s">
        <v>63</v>
      </c>
      <c r="B10" s="27">
        <f>'CNTNR COST'!G8</f>
        <v>0.5646</v>
      </c>
      <c r="C10" s="26">
        <v>0</v>
      </c>
      <c r="D10" s="30">
        <v>-0.0419</v>
      </c>
      <c r="E10" s="31">
        <f>ROUND($E$11*2,4)</f>
        <v>0</v>
      </c>
      <c r="F10" s="31">
        <f>ROUND($F$11*2,4)</f>
        <v>-0.0026</v>
      </c>
      <c r="G10" s="26">
        <f aca="true" t="shared" si="2" ref="G10:G17">ROUND(SUM(B10:F10),4)</f>
        <v>0.5201</v>
      </c>
      <c r="H10" s="26">
        <f aca="true" t="shared" si="3" ref="H10:H17">(G10/(1-$H$5))-G10</f>
        <v>0.018863730569948167</v>
      </c>
      <c r="I10" s="26">
        <f aca="true" t="shared" si="4" ref="I10:I17">ROUND(G10+H10,4)</f>
        <v>0.539</v>
      </c>
      <c r="J10" s="26">
        <f>J11*2</f>
        <v>-0.261</v>
      </c>
      <c r="K10" s="30">
        <f>K11*2</f>
        <v>0.4874</v>
      </c>
      <c r="L10" s="165">
        <f t="shared" si="0"/>
        <v>0.7654</v>
      </c>
      <c r="M10" s="30">
        <v>1.4818</v>
      </c>
      <c r="N10" s="30">
        <f aca="true" t="shared" si="5" ref="N10:N17">ROUND(L10-(L10*WHSLE_DISCNT),4)</f>
        <v>0.6736</v>
      </c>
      <c r="O10" s="30">
        <f>ROUND(2*STORE_COST,4)</f>
        <v>0</v>
      </c>
      <c r="P10" s="115">
        <f>O10+N10</f>
        <v>0.6736</v>
      </c>
      <c r="Q10" s="30">
        <f aca="true" t="shared" si="6" ref="Q10:Q17">ROUND(P10/(1-RETAIL_PRFT)-P10,4)</f>
        <v>0.0187</v>
      </c>
      <c r="R10" s="168">
        <f aca="true" t="shared" si="7" ref="R10:R16">IF(ROUND(Q10+P10,2)&gt;L10,ROUND(Q10+P10,2),ROUND(L10+0.005,2))</f>
        <v>0.77</v>
      </c>
      <c r="S10" s="170">
        <f>S9/2</f>
        <v>0.05</v>
      </c>
      <c r="T10" s="172">
        <v>1.54</v>
      </c>
      <c r="U10" s="122">
        <f t="shared" si="1"/>
        <v>-0.77</v>
      </c>
    </row>
    <row r="11" spans="1:21" ht="14.25" thickBot="1" thickTop="1">
      <c r="A11" s="21" t="s">
        <v>14</v>
      </c>
      <c r="B11" s="27">
        <f>'CNTNR COST'!G9</f>
        <v>0.2823</v>
      </c>
      <c r="C11" s="26">
        <v>0</v>
      </c>
      <c r="D11" s="30">
        <v>0.033</v>
      </c>
      <c r="E11" s="31">
        <f>ENERGY_ADDON</f>
        <v>0</v>
      </c>
      <c r="F11" s="31">
        <f>ROUND(COST_UPDATE_ADJ,4)</f>
        <v>-0.0013</v>
      </c>
      <c r="G11" s="26">
        <f t="shared" si="2"/>
        <v>0.314</v>
      </c>
      <c r="H11" s="26">
        <f t="shared" si="3"/>
        <v>0.01138860103626943</v>
      </c>
      <c r="I11" s="26">
        <f t="shared" si="4"/>
        <v>0.3254</v>
      </c>
      <c r="J11" s="26">
        <v>-0.1305</v>
      </c>
      <c r="K11" s="30">
        <v>0.2437</v>
      </c>
      <c r="L11" s="165">
        <f t="shared" si="0"/>
        <v>0.4386</v>
      </c>
      <c r="M11" s="30">
        <v>0.7871</v>
      </c>
      <c r="N11" s="30">
        <f t="shared" si="5"/>
        <v>0.386</v>
      </c>
      <c r="O11" s="30">
        <f>STORE_COST</f>
        <v>0</v>
      </c>
      <c r="P11" s="115">
        <f aca="true" t="shared" si="8" ref="P11:P17">O11+N11</f>
        <v>0.386</v>
      </c>
      <c r="Q11" s="30">
        <f t="shared" si="6"/>
        <v>0.0107</v>
      </c>
      <c r="R11" s="168">
        <f t="shared" si="7"/>
        <v>0.44</v>
      </c>
      <c r="S11" s="170">
        <f>S10/2</f>
        <v>0.025</v>
      </c>
      <c r="T11" s="172">
        <v>0.81</v>
      </c>
      <c r="U11" s="122">
        <f t="shared" si="1"/>
        <v>-0.37000000000000005</v>
      </c>
    </row>
    <row r="12" spans="1:21" ht="14.25" thickBot="1" thickTop="1">
      <c r="A12" s="21" t="s">
        <v>15</v>
      </c>
      <c r="B12" s="27">
        <f>'CNTNR COST'!G10</f>
        <v>0.1411</v>
      </c>
      <c r="C12" s="26">
        <v>0</v>
      </c>
      <c r="D12" s="30">
        <v>0.0755</v>
      </c>
      <c r="E12" s="31">
        <f>ROUND($E$11/2,4)</f>
        <v>0</v>
      </c>
      <c r="F12" s="31">
        <f>ROUND($F$11/2,4)</f>
        <v>-0.0007</v>
      </c>
      <c r="G12" s="26">
        <f t="shared" si="2"/>
        <v>0.2159</v>
      </c>
      <c r="H12" s="26">
        <f t="shared" si="3"/>
        <v>0.007830569948186539</v>
      </c>
      <c r="I12" s="26">
        <f t="shared" si="4"/>
        <v>0.2237</v>
      </c>
      <c r="J12" s="26">
        <f>ROUND(J$11/2,4)</f>
        <v>-0.0653</v>
      </c>
      <c r="K12" s="30">
        <f>K11*0.5</f>
        <v>0.12185</v>
      </c>
      <c r="L12" s="165">
        <f t="shared" si="0"/>
        <v>0.2803</v>
      </c>
      <c r="M12" s="30">
        <v>0.4255</v>
      </c>
      <c r="N12" s="30">
        <f t="shared" si="5"/>
        <v>0.2467</v>
      </c>
      <c r="O12" s="30">
        <f>ROUND(STORE_COST/2,4)</f>
        <v>0</v>
      </c>
      <c r="P12" s="115">
        <f t="shared" si="8"/>
        <v>0.2467</v>
      </c>
      <c r="Q12" s="30">
        <f t="shared" si="6"/>
        <v>0.0068</v>
      </c>
      <c r="R12" s="168">
        <f t="shared" si="7"/>
        <v>0.29</v>
      </c>
      <c r="S12" s="170">
        <f>S11/2</f>
        <v>0.0125</v>
      </c>
      <c r="T12" s="172">
        <v>0.43</v>
      </c>
      <c r="U12" s="122">
        <f t="shared" si="1"/>
        <v>-0.14</v>
      </c>
    </row>
    <row r="13" spans="1:21" ht="14.25" thickBot="1" thickTop="1">
      <c r="A13" s="21" t="s">
        <v>162</v>
      </c>
      <c r="B13" s="27">
        <f>'CNTNR COST'!G11</f>
        <v>0.1522</v>
      </c>
      <c r="C13" s="26"/>
      <c r="D13" s="30">
        <f>ROUND((D11/32)*12,4)</f>
        <v>0.0124</v>
      </c>
      <c r="E13" s="31">
        <f>ROUND($E$11/32*12,4)</f>
        <v>0</v>
      </c>
      <c r="F13" s="31">
        <f>ROUND($F$11/32*12,4)</f>
        <v>-0.0005</v>
      </c>
      <c r="G13" s="26">
        <f t="shared" si="2"/>
        <v>0.1641</v>
      </c>
      <c r="H13" s="26">
        <f t="shared" si="3"/>
        <v>0.005951813471502587</v>
      </c>
      <c r="I13" s="26">
        <f t="shared" si="4"/>
        <v>0.1701</v>
      </c>
      <c r="J13" s="26">
        <f>ROUND(J11/32*12,4)</f>
        <v>-0.0489</v>
      </c>
      <c r="K13" s="26">
        <f>ROUND(K11/32*12,4)</f>
        <v>0.0914</v>
      </c>
      <c r="L13" s="165">
        <f t="shared" si="0"/>
        <v>0.2126</v>
      </c>
      <c r="M13" s="30"/>
      <c r="N13" s="30">
        <f t="shared" si="5"/>
        <v>0.1871</v>
      </c>
      <c r="O13" s="30">
        <f>ROUND(STORE_COST/32*12,4)</f>
        <v>0</v>
      </c>
      <c r="P13" s="115">
        <f t="shared" si="8"/>
        <v>0.1871</v>
      </c>
      <c r="Q13" s="30">
        <f t="shared" si="6"/>
        <v>0.0052</v>
      </c>
      <c r="R13" s="168">
        <f t="shared" si="7"/>
        <v>0.22</v>
      </c>
      <c r="S13" s="170"/>
      <c r="T13" s="172"/>
      <c r="U13" s="122"/>
    </row>
    <row r="14" spans="1:21" ht="14.25" thickBot="1" thickTop="1">
      <c r="A14" s="21" t="s">
        <v>64</v>
      </c>
      <c r="B14" s="27">
        <f>'CNTNR COST'!G12</f>
        <v>0.1427</v>
      </c>
      <c r="C14" s="26">
        <v>0</v>
      </c>
      <c r="D14" s="30">
        <f>ROUND((D11/32)*10,4)</f>
        <v>0.0103</v>
      </c>
      <c r="E14" s="31">
        <f>ROUND($E$11/32*10,4)</f>
        <v>0</v>
      </c>
      <c r="F14" s="31">
        <f>ROUND($F$11/32*10,4)</f>
        <v>-0.0004</v>
      </c>
      <c r="G14" s="26">
        <f t="shared" si="2"/>
        <v>0.1526</v>
      </c>
      <c r="H14" s="26">
        <f t="shared" si="3"/>
        <v>0.005534715025906745</v>
      </c>
      <c r="I14" s="26">
        <f t="shared" si="4"/>
        <v>0.1581</v>
      </c>
      <c r="J14" s="26">
        <f>ROUND(J$11/3,4)</f>
        <v>-0.0435</v>
      </c>
      <c r="K14" s="30">
        <f>K11/3</f>
        <v>0.08123333333333334</v>
      </c>
      <c r="L14" s="165">
        <f t="shared" si="0"/>
        <v>0.1958</v>
      </c>
      <c r="M14" s="30">
        <v>0.2935</v>
      </c>
      <c r="N14" s="30">
        <f t="shared" si="5"/>
        <v>0.1723</v>
      </c>
      <c r="O14" s="30">
        <f>ROUND(STORE_COST/32*10,4)</f>
        <v>0</v>
      </c>
      <c r="P14" s="115">
        <f t="shared" si="8"/>
        <v>0.1723</v>
      </c>
      <c r="Q14" s="30">
        <f t="shared" si="6"/>
        <v>0.0048</v>
      </c>
      <c r="R14" s="168">
        <f t="shared" si="7"/>
        <v>0.2</v>
      </c>
      <c r="S14" s="170">
        <f>S11/32*10</f>
        <v>0.0078125</v>
      </c>
      <c r="T14" s="172">
        <v>0.3</v>
      </c>
      <c r="U14" s="122">
        <f t="shared" si="1"/>
        <v>-0.09999999999999998</v>
      </c>
    </row>
    <row r="15" spans="1:21" ht="14.25" thickBot="1" thickTop="1">
      <c r="A15" s="21" t="s">
        <v>65</v>
      </c>
      <c r="B15" s="27">
        <f>'CNTNR COST'!G13</f>
        <v>0.0706</v>
      </c>
      <c r="C15" s="26">
        <v>0</v>
      </c>
      <c r="D15" s="30">
        <v>0.0367</v>
      </c>
      <c r="E15" s="31">
        <f>ROUND($E$11/4,4)</f>
        <v>0</v>
      </c>
      <c r="F15" s="31">
        <f>ROUND($F$11/4,4)</f>
        <v>-0.0003</v>
      </c>
      <c r="G15" s="26">
        <f t="shared" si="2"/>
        <v>0.107</v>
      </c>
      <c r="H15" s="26">
        <f t="shared" si="3"/>
        <v>0.0038808290155440406</v>
      </c>
      <c r="I15" s="26">
        <f t="shared" si="4"/>
        <v>0.1109</v>
      </c>
      <c r="J15" s="26">
        <f>ROUND(J$11/4,4)</f>
        <v>-0.0326</v>
      </c>
      <c r="K15" s="30">
        <f>K11*0.25</f>
        <v>0.060925</v>
      </c>
      <c r="L15" s="165">
        <f t="shared" si="0"/>
        <v>0.1392</v>
      </c>
      <c r="M15" s="30">
        <v>0.2229</v>
      </c>
      <c r="N15" s="30">
        <f t="shared" si="5"/>
        <v>0.1225</v>
      </c>
      <c r="O15" s="30">
        <f>ROUND(STORE_COST/4,4)</f>
        <v>0</v>
      </c>
      <c r="P15" s="115">
        <f t="shared" si="8"/>
        <v>0.1225</v>
      </c>
      <c r="Q15" s="30">
        <f t="shared" si="6"/>
        <v>0.0034</v>
      </c>
      <c r="R15" s="168">
        <f t="shared" si="7"/>
        <v>0.14</v>
      </c>
      <c r="S15" s="170">
        <f>S12/2</f>
        <v>0.00625</v>
      </c>
      <c r="T15" s="172">
        <v>0.23</v>
      </c>
      <c r="U15" s="122">
        <f t="shared" si="1"/>
        <v>-0.09</v>
      </c>
    </row>
    <row r="16" spans="1:21" ht="14.25" thickBot="1" thickTop="1">
      <c r="A16" s="21" t="s">
        <v>66</v>
      </c>
      <c r="B16" s="27">
        <f>'CNTNR COST'!G14</f>
        <v>0.0616</v>
      </c>
      <c r="C16" s="26">
        <v>0</v>
      </c>
      <c r="D16" s="30">
        <v>0.0373</v>
      </c>
      <c r="E16" s="31">
        <f>ROUND($E$11/8,4)</f>
        <v>0</v>
      </c>
      <c r="F16" s="31">
        <f>ROUND($F$11/8,4)</f>
        <v>-0.0002</v>
      </c>
      <c r="G16" s="26">
        <f t="shared" si="2"/>
        <v>0.0987</v>
      </c>
      <c r="H16" s="26">
        <f t="shared" si="3"/>
        <v>0.0035797927461139883</v>
      </c>
      <c r="I16" s="26">
        <f t="shared" si="4"/>
        <v>0.1023</v>
      </c>
      <c r="J16" s="26">
        <f>ROUND(J$11/8,4)</f>
        <v>-0.0163</v>
      </c>
      <c r="K16" s="30">
        <f>K11/8</f>
        <v>0.0304625</v>
      </c>
      <c r="L16" s="165">
        <f t="shared" si="0"/>
        <v>0.1165</v>
      </c>
      <c r="M16" s="30">
        <v>0.1289</v>
      </c>
      <c r="N16" s="30">
        <f t="shared" si="5"/>
        <v>0.1025</v>
      </c>
      <c r="O16" s="30">
        <f>ROUND(STORE_COST/8,4)</f>
        <v>0</v>
      </c>
      <c r="P16" s="115">
        <f t="shared" si="8"/>
        <v>0.1025</v>
      </c>
      <c r="Q16" s="30">
        <f t="shared" si="6"/>
        <v>0.0028</v>
      </c>
      <c r="R16" s="168">
        <f t="shared" si="7"/>
        <v>0.12</v>
      </c>
      <c r="S16" s="170">
        <f>S15/2</f>
        <v>0.003125</v>
      </c>
      <c r="T16" s="172">
        <v>0.13</v>
      </c>
      <c r="U16" s="122">
        <f t="shared" si="1"/>
        <v>-0.010000000000000009</v>
      </c>
    </row>
    <row r="17" spans="1:21" ht="14.25" thickBot="1" thickTop="1">
      <c r="A17" s="21" t="s">
        <v>94</v>
      </c>
      <c r="B17" s="36">
        <f>'CNTNR COST'!G15</f>
        <v>0.3587</v>
      </c>
      <c r="C17" s="37">
        <v>0</v>
      </c>
      <c r="D17" s="42">
        <v>0.1058</v>
      </c>
      <c r="E17" s="40">
        <f>ROUND($E$11,4)</f>
        <v>0</v>
      </c>
      <c r="F17" s="40">
        <f>ROUND($F$11,4)</f>
        <v>-0.0013</v>
      </c>
      <c r="G17" s="37">
        <f t="shared" si="2"/>
        <v>0.4632</v>
      </c>
      <c r="H17" s="37">
        <f t="shared" si="3"/>
        <v>0.016800000000000037</v>
      </c>
      <c r="I17" s="37">
        <f t="shared" si="4"/>
        <v>0.48</v>
      </c>
      <c r="J17" s="37">
        <f>J$11</f>
        <v>-0.1305</v>
      </c>
      <c r="K17" s="42">
        <f>K11</f>
        <v>0.2437</v>
      </c>
      <c r="L17" s="166">
        <f t="shared" si="0"/>
        <v>0.5932</v>
      </c>
      <c r="M17" s="42">
        <v>0.7735</v>
      </c>
      <c r="N17" s="42">
        <f t="shared" si="5"/>
        <v>0.522</v>
      </c>
      <c r="O17" s="42">
        <f>STORE_COST</f>
        <v>0</v>
      </c>
      <c r="P17" s="42">
        <f t="shared" si="8"/>
        <v>0.522</v>
      </c>
      <c r="Q17" s="42">
        <f t="shared" si="6"/>
        <v>0.0145</v>
      </c>
      <c r="R17" s="169">
        <f>IF(ROUND(Q17+P17,2)&gt;L17,ROUND(Q17+P17,2),ROUND(L17+0.005,2))</f>
        <v>0.6</v>
      </c>
      <c r="S17" s="170">
        <f>+S11</f>
        <v>0.025</v>
      </c>
      <c r="T17" s="173">
        <v>0.8</v>
      </c>
      <c r="U17" s="123">
        <f t="shared" si="1"/>
        <v>-0.20000000000000007</v>
      </c>
    </row>
    <row r="18" spans="1:20" ht="14.25" thickBot="1" thickTop="1">
      <c r="A18" s="21" t="s">
        <v>47</v>
      </c>
      <c r="L18" s="43"/>
      <c r="M18" s="43"/>
      <c r="N18" s="43"/>
      <c r="O18" s="43"/>
      <c r="P18" s="43"/>
      <c r="Q18" s="43"/>
      <c r="R18" s="170"/>
      <c r="S18" s="170"/>
      <c r="T18" s="170"/>
    </row>
    <row r="19" spans="1:21" ht="14.25" thickBot="1" thickTop="1">
      <c r="A19" s="21" t="s">
        <v>12</v>
      </c>
      <c r="B19" s="35">
        <f>'CNTNR COST'!G17</f>
        <v>1.13</v>
      </c>
      <c r="C19" s="25">
        <v>0</v>
      </c>
      <c r="D19" s="25">
        <f>+$D$9</f>
        <v>-0.1067</v>
      </c>
      <c r="E19" s="39">
        <f>ROUND($E$11*4,4)</f>
        <v>0</v>
      </c>
      <c r="F19" s="39">
        <f>ROUND($F$11*4,4)</f>
        <v>-0.0052</v>
      </c>
      <c r="G19" s="25">
        <f>ROUND(SUM(B19:F19),4)</f>
        <v>1.0181</v>
      </c>
      <c r="H19" s="25">
        <f>(G19/(1-$H$5))-G19</f>
        <v>0.036925906735751246</v>
      </c>
      <c r="I19" s="25">
        <f>ROUND(G19+H19,4)</f>
        <v>1.055</v>
      </c>
      <c r="J19" s="25">
        <f>ROUND(J$11*4,4)</f>
        <v>-0.522</v>
      </c>
      <c r="K19" s="25">
        <f>ROUND(K$11*4,4)</f>
        <v>0.9748</v>
      </c>
      <c r="L19" s="164">
        <f aca="true" t="shared" si="9" ref="L19:L27">ROUND(SUM(I19:K19),4)</f>
        <v>1.5078</v>
      </c>
      <c r="M19" s="41">
        <v>2.632</v>
      </c>
      <c r="N19" s="41">
        <f>ROUND(L19-(L19*WHSLE_DISCNT),4)</f>
        <v>1.3269</v>
      </c>
      <c r="O19" s="41">
        <f>ROUND(4*STORE_COST,4)</f>
        <v>0</v>
      </c>
      <c r="P19" s="114">
        <f>N19+O19</f>
        <v>1.3269</v>
      </c>
      <c r="Q19" s="41">
        <f>ROUND(P19/(1-RETAIL_PRFT)-P19,4)</f>
        <v>0.0368</v>
      </c>
      <c r="R19" s="167">
        <f>IF(ROUND(Q19+P19,2)&gt;L19,ROUND(Q19+P19,2),ROUND(L19+0.005,2))</f>
        <v>1.51</v>
      </c>
      <c r="S19" s="170"/>
      <c r="T19" s="171">
        <v>2.77</v>
      </c>
      <c r="U19" s="121">
        <f aca="true" t="shared" si="10" ref="U19:U27">R19-T19</f>
        <v>-1.26</v>
      </c>
    </row>
    <row r="20" spans="1:21" ht="14.25" thickBot="1" thickTop="1">
      <c r="A20" s="21" t="s">
        <v>63</v>
      </c>
      <c r="B20" s="27">
        <f>'CNTNR COST'!G18</f>
        <v>0.565</v>
      </c>
      <c r="C20" s="26">
        <v>0</v>
      </c>
      <c r="D20" s="26">
        <f>+$D$10</f>
        <v>-0.0419</v>
      </c>
      <c r="E20" s="31">
        <f>ROUND($E$11*2,4)</f>
        <v>0</v>
      </c>
      <c r="F20" s="31">
        <f>ROUND($F$11*2,4)</f>
        <v>-0.0026</v>
      </c>
      <c r="G20" s="26">
        <f aca="true" t="shared" si="11" ref="G20:G27">ROUND(SUM(B20:F20),4)</f>
        <v>0.5205</v>
      </c>
      <c r="H20" s="26">
        <f aca="true" t="shared" si="12" ref="H20:H27">(G20/(1-$H$5))-G20</f>
        <v>0.01887823834196889</v>
      </c>
      <c r="I20" s="26">
        <f aca="true" t="shared" si="13" ref="I20:I27">ROUND(G20+H20,4)</f>
        <v>0.5394</v>
      </c>
      <c r="J20" s="26">
        <f>ROUND(J$11*2,4)</f>
        <v>-0.261</v>
      </c>
      <c r="K20" s="26">
        <f>ROUND(K$11*2,4)</f>
        <v>0.4874</v>
      </c>
      <c r="L20" s="165">
        <f t="shared" si="9"/>
        <v>0.7658</v>
      </c>
      <c r="M20" s="30">
        <v>1.3613</v>
      </c>
      <c r="N20" s="30">
        <f aca="true" t="shared" si="14" ref="N20:N27">ROUND(L20-(L20*WHSLE_DISCNT),4)</f>
        <v>0.6739</v>
      </c>
      <c r="O20" s="30">
        <f>ROUND(2*STORE_COST,4)</f>
        <v>0</v>
      </c>
      <c r="P20" s="115">
        <f>O20+N20</f>
        <v>0.6739</v>
      </c>
      <c r="Q20" s="30">
        <f aca="true" t="shared" si="15" ref="Q20:Q27">ROUND(P20/(1-RETAIL_PRFT)-P20,4)</f>
        <v>0.0187</v>
      </c>
      <c r="R20" s="168">
        <f aca="true" t="shared" si="16" ref="R20:R26">IF(ROUND(Q20+P20,2)&gt;L20,ROUND(Q20+P20,2),ROUND(L20+0.005,2))</f>
        <v>0.77</v>
      </c>
      <c r="S20" s="170"/>
      <c r="T20" s="172">
        <v>1.43</v>
      </c>
      <c r="U20" s="122">
        <f t="shared" si="10"/>
        <v>-0.6599999999999999</v>
      </c>
    </row>
    <row r="21" spans="1:21" ht="14.25" thickBot="1" thickTop="1">
      <c r="A21" s="21" t="s">
        <v>14</v>
      </c>
      <c r="B21" s="27">
        <f>'CNTNR COST'!G19</f>
        <v>0.2825</v>
      </c>
      <c r="C21" s="26">
        <v>0</v>
      </c>
      <c r="D21" s="26">
        <f>+$D$11</f>
        <v>0.033</v>
      </c>
      <c r="E21" s="31">
        <f>ENERGY_ADDON</f>
        <v>0</v>
      </c>
      <c r="F21" s="31">
        <f>ROUND(COST_UPDATE_ADJ,4)</f>
        <v>-0.0013</v>
      </c>
      <c r="G21" s="26">
        <f t="shared" si="11"/>
        <v>0.3142</v>
      </c>
      <c r="H21" s="26">
        <f t="shared" si="12"/>
        <v>0.011395854922279791</v>
      </c>
      <c r="I21" s="26">
        <f t="shared" si="13"/>
        <v>0.3256</v>
      </c>
      <c r="J21" s="26">
        <f>$J$11</f>
        <v>-0.1305</v>
      </c>
      <c r="K21" s="26">
        <f>$K$11</f>
        <v>0.2437</v>
      </c>
      <c r="L21" s="165">
        <f t="shared" si="9"/>
        <v>0.4388</v>
      </c>
      <c r="M21" s="30">
        <v>0.7268</v>
      </c>
      <c r="N21" s="30">
        <f t="shared" si="14"/>
        <v>0.3861</v>
      </c>
      <c r="O21" s="30">
        <f>STORE_COST</f>
        <v>0</v>
      </c>
      <c r="P21" s="115">
        <f aca="true" t="shared" si="17" ref="P21:P27">O21+N21</f>
        <v>0.3861</v>
      </c>
      <c r="Q21" s="30">
        <f t="shared" si="15"/>
        <v>0.0107</v>
      </c>
      <c r="R21" s="168">
        <f t="shared" si="16"/>
        <v>0.44</v>
      </c>
      <c r="S21" s="170"/>
      <c r="T21" s="172">
        <v>0.75</v>
      </c>
      <c r="U21" s="122">
        <f t="shared" si="10"/>
        <v>-0.31</v>
      </c>
    </row>
    <row r="22" spans="1:21" ht="14.25" thickBot="1" thickTop="1">
      <c r="A22" s="21" t="s">
        <v>15</v>
      </c>
      <c r="B22" s="27">
        <f>'CNTNR COST'!G20</f>
        <v>0.1412</v>
      </c>
      <c r="C22" s="26">
        <v>0</v>
      </c>
      <c r="D22" s="26">
        <f>+$D$12</f>
        <v>0.0755</v>
      </c>
      <c r="E22" s="31">
        <f>ROUND($E$11/2,4)</f>
        <v>0</v>
      </c>
      <c r="F22" s="31">
        <f>ROUND($F$11/2,4)</f>
        <v>-0.0007</v>
      </c>
      <c r="G22" s="26">
        <f t="shared" si="11"/>
        <v>0.216</v>
      </c>
      <c r="H22" s="26">
        <f t="shared" si="12"/>
        <v>0.00783419689119172</v>
      </c>
      <c r="I22" s="26">
        <f t="shared" si="13"/>
        <v>0.2238</v>
      </c>
      <c r="J22" s="26">
        <f>ROUND(J$11/2,4)</f>
        <v>-0.0653</v>
      </c>
      <c r="K22" s="26">
        <f>ROUND(K$11/2,4)</f>
        <v>0.1219</v>
      </c>
      <c r="L22" s="165">
        <f t="shared" si="9"/>
        <v>0.2804</v>
      </c>
      <c r="M22" s="30">
        <v>0.3953</v>
      </c>
      <c r="N22" s="30">
        <f t="shared" si="14"/>
        <v>0.2468</v>
      </c>
      <c r="O22" s="30">
        <f>ROUND(STORE_COST/2,4)</f>
        <v>0</v>
      </c>
      <c r="P22" s="115">
        <f t="shared" si="17"/>
        <v>0.2468</v>
      </c>
      <c r="Q22" s="30">
        <f t="shared" si="15"/>
        <v>0.0068</v>
      </c>
      <c r="R22" s="168">
        <f t="shared" si="16"/>
        <v>0.29</v>
      </c>
      <c r="S22" s="170"/>
      <c r="T22" s="172">
        <v>0.41</v>
      </c>
      <c r="U22" s="122">
        <f t="shared" si="10"/>
        <v>-0.12</v>
      </c>
    </row>
    <row r="23" spans="1:21" ht="14.25" thickBot="1" thickTop="1">
      <c r="A23" s="21" t="s">
        <v>162</v>
      </c>
      <c r="B23" s="27">
        <f>'CNTNR COST'!G21</f>
        <v>0.1522</v>
      </c>
      <c r="C23" s="26"/>
      <c r="D23" s="30">
        <f>+$D$13</f>
        <v>0.0124</v>
      </c>
      <c r="E23" s="31">
        <f>ROUND($E$11/32*12,4)</f>
        <v>0</v>
      </c>
      <c r="F23" s="31">
        <f>ROUND($F$11/32*12,4)</f>
        <v>-0.0005</v>
      </c>
      <c r="G23" s="26">
        <f t="shared" si="11"/>
        <v>0.1641</v>
      </c>
      <c r="H23" s="26">
        <f t="shared" si="12"/>
        <v>0.005951813471502587</v>
      </c>
      <c r="I23" s="26">
        <f t="shared" si="13"/>
        <v>0.1701</v>
      </c>
      <c r="J23" s="26">
        <f>ROUND(J21/32*12,4)</f>
        <v>-0.0489</v>
      </c>
      <c r="K23" s="26">
        <f>ROUND(K21/32*12,4)</f>
        <v>0.0914</v>
      </c>
      <c r="L23" s="165">
        <f t="shared" si="9"/>
        <v>0.2126</v>
      </c>
      <c r="M23" s="30"/>
      <c r="N23" s="30">
        <f t="shared" si="14"/>
        <v>0.1871</v>
      </c>
      <c r="O23" s="30">
        <f>ROUND(STORE_COST/32*12,4)</f>
        <v>0</v>
      </c>
      <c r="P23" s="115">
        <f t="shared" si="17"/>
        <v>0.1871</v>
      </c>
      <c r="Q23" s="30">
        <f t="shared" si="15"/>
        <v>0.0052</v>
      </c>
      <c r="R23" s="168">
        <f t="shared" si="16"/>
        <v>0.22</v>
      </c>
      <c r="S23" s="170"/>
      <c r="T23" s="172"/>
      <c r="U23" s="122"/>
    </row>
    <row r="24" spans="1:21" ht="14.25" thickBot="1" thickTop="1">
      <c r="A24" s="21" t="s">
        <v>64</v>
      </c>
      <c r="B24" s="27">
        <f>'CNTNR COST'!G22</f>
        <v>0.1427</v>
      </c>
      <c r="C24" s="26">
        <v>0</v>
      </c>
      <c r="D24" s="26">
        <f>+$D$14</f>
        <v>0.0103</v>
      </c>
      <c r="E24" s="31">
        <f>ROUND($E$11/32*10,4)</f>
        <v>0</v>
      </c>
      <c r="F24" s="31">
        <f>ROUND($F$11/32*10,4)</f>
        <v>-0.0004</v>
      </c>
      <c r="G24" s="26">
        <f t="shared" si="11"/>
        <v>0.1526</v>
      </c>
      <c r="H24" s="26">
        <f t="shared" si="12"/>
        <v>0.005534715025906745</v>
      </c>
      <c r="I24" s="26">
        <f t="shared" si="13"/>
        <v>0.1581</v>
      </c>
      <c r="J24" s="26">
        <f>ROUND(J$11/3,4)</f>
        <v>-0.0435</v>
      </c>
      <c r="K24" s="26">
        <f>ROUND(K$11/3,4)</f>
        <v>0.0812</v>
      </c>
      <c r="L24" s="165">
        <f t="shared" si="9"/>
        <v>0.1958</v>
      </c>
      <c r="M24" s="30">
        <v>0.2747</v>
      </c>
      <c r="N24" s="30">
        <f t="shared" si="14"/>
        <v>0.1723</v>
      </c>
      <c r="O24" s="30">
        <f>ROUND(STORE_COST/32*10,4)</f>
        <v>0</v>
      </c>
      <c r="P24" s="115">
        <f t="shared" si="17"/>
        <v>0.1723</v>
      </c>
      <c r="Q24" s="30">
        <f t="shared" si="15"/>
        <v>0.0048</v>
      </c>
      <c r="R24" s="168">
        <f t="shared" si="16"/>
        <v>0.2</v>
      </c>
      <c r="S24" s="170"/>
      <c r="T24" s="172">
        <v>0.28</v>
      </c>
      <c r="U24" s="122">
        <f t="shared" si="10"/>
        <v>-0.08000000000000002</v>
      </c>
    </row>
    <row r="25" spans="1:21" ht="14.25" thickBot="1" thickTop="1">
      <c r="A25" s="21" t="s">
        <v>65</v>
      </c>
      <c r="B25" s="27">
        <f>'CNTNR COST'!G23</f>
        <v>0.0706</v>
      </c>
      <c r="C25" s="26">
        <v>0</v>
      </c>
      <c r="D25" s="26">
        <f>+$D$15</f>
        <v>0.0367</v>
      </c>
      <c r="E25" s="31">
        <f>ROUND($E$11/4,4)</f>
        <v>0</v>
      </c>
      <c r="F25" s="31">
        <f>ROUND($F$11/4,4)</f>
        <v>-0.0003</v>
      </c>
      <c r="G25" s="26">
        <f t="shared" si="11"/>
        <v>0.107</v>
      </c>
      <c r="H25" s="26">
        <f t="shared" si="12"/>
        <v>0.0038808290155440406</v>
      </c>
      <c r="I25" s="26">
        <f t="shared" si="13"/>
        <v>0.1109</v>
      </c>
      <c r="J25" s="26">
        <f>ROUND(J$11/4,4)</f>
        <v>-0.0326</v>
      </c>
      <c r="K25" s="26">
        <f>ROUND(K$11/4,4)</f>
        <v>0.0609</v>
      </c>
      <c r="L25" s="165">
        <f t="shared" si="9"/>
        <v>0.1392</v>
      </c>
      <c r="M25" s="30">
        <v>0.2078</v>
      </c>
      <c r="N25" s="30">
        <f t="shared" si="14"/>
        <v>0.1225</v>
      </c>
      <c r="O25" s="30">
        <f>ROUND(STORE_COST/4,4)</f>
        <v>0</v>
      </c>
      <c r="P25" s="115">
        <f t="shared" si="17"/>
        <v>0.1225</v>
      </c>
      <c r="Q25" s="30">
        <f t="shared" si="15"/>
        <v>0.0034</v>
      </c>
      <c r="R25" s="168">
        <f t="shared" si="16"/>
        <v>0.14</v>
      </c>
      <c r="S25" s="170"/>
      <c r="T25" s="172">
        <v>0.21</v>
      </c>
      <c r="U25" s="122">
        <f t="shared" si="10"/>
        <v>-0.06999999999999998</v>
      </c>
    </row>
    <row r="26" spans="1:21" ht="14.25" thickBot="1" thickTop="1">
      <c r="A26" s="21" t="s">
        <v>66</v>
      </c>
      <c r="B26" s="27">
        <f>'CNTNR COST'!G24</f>
        <v>0.0616</v>
      </c>
      <c r="C26" s="26">
        <v>0</v>
      </c>
      <c r="D26" s="26">
        <f>+$D$16</f>
        <v>0.0373</v>
      </c>
      <c r="E26" s="31">
        <f>ROUND($E$11/8,4)</f>
        <v>0</v>
      </c>
      <c r="F26" s="31">
        <f>ROUND($F$11/8,4)</f>
        <v>-0.0002</v>
      </c>
      <c r="G26" s="26">
        <f t="shared" si="11"/>
        <v>0.0987</v>
      </c>
      <c r="H26" s="26">
        <f t="shared" si="12"/>
        <v>0.0035797927461139883</v>
      </c>
      <c r="I26" s="26">
        <f t="shared" si="13"/>
        <v>0.1023</v>
      </c>
      <c r="J26" s="26">
        <f>ROUND(J$11/8,4)</f>
        <v>-0.0163</v>
      </c>
      <c r="K26" s="26">
        <f>ROUND(K$11/8,4)</f>
        <v>0.0305</v>
      </c>
      <c r="L26" s="165">
        <f t="shared" si="9"/>
        <v>0.1165</v>
      </c>
      <c r="M26" s="30">
        <v>0.1214</v>
      </c>
      <c r="N26" s="30">
        <f t="shared" si="14"/>
        <v>0.1025</v>
      </c>
      <c r="O26" s="30">
        <f>ROUND(STORE_COST/8,4)</f>
        <v>0</v>
      </c>
      <c r="P26" s="115">
        <f t="shared" si="17"/>
        <v>0.1025</v>
      </c>
      <c r="Q26" s="30">
        <f t="shared" si="15"/>
        <v>0.0028</v>
      </c>
      <c r="R26" s="168">
        <f t="shared" si="16"/>
        <v>0.12</v>
      </c>
      <c r="S26" s="170"/>
      <c r="T26" s="172">
        <v>0.13</v>
      </c>
      <c r="U26" s="122">
        <f t="shared" si="10"/>
        <v>-0.010000000000000009</v>
      </c>
    </row>
    <row r="27" spans="1:21" ht="14.25" thickBot="1" thickTop="1">
      <c r="A27" s="21" t="s">
        <v>94</v>
      </c>
      <c r="B27" s="36">
        <f>'CNTNR COST'!G25</f>
        <v>0.3589</v>
      </c>
      <c r="C27" s="37">
        <v>0</v>
      </c>
      <c r="D27" s="37">
        <f>+$D$17</f>
        <v>0.1058</v>
      </c>
      <c r="E27" s="40">
        <f>ROUND($E$11,4)</f>
        <v>0</v>
      </c>
      <c r="F27" s="40">
        <f>ROUND($F$11,4)</f>
        <v>-0.0013</v>
      </c>
      <c r="G27" s="37">
        <f t="shared" si="11"/>
        <v>0.4634</v>
      </c>
      <c r="H27" s="37">
        <f t="shared" si="12"/>
        <v>0.016807253886010398</v>
      </c>
      <c r="I27" s="37">
        <f t="shared" si="13"/>
        <v>0.4802</v>
      </c>
      <c r="J27" s="37">
        <f>J$11</f>
        <v>-0.1305</v>
      </c>
      <c r="K27" s="37">
        <f>K$11</f>
        <v>0.2437</v>
      </c>
      <c r="L27" s="166">
        <f t="shared" si="9"/>
        <v>0.5934</v>
      </c>
      <c r="M27" s="42">
        <v>0.7133</v>
      </c>
      <c r="N27" s="42">
        <f t="shared" si="14"/>
        <v>0.5222</v>
      </c>
      <c r="O27" s="42">
        <f>STORE_COST</f>
        <v>0</v>
      </c>
      <c r="P27" s="42">
        <f t="shared" si="17"/>
        <v>0.5222</v>
      </c>
      <c r="Q27" s="42">
        <f t="shared" si="15"/>
        <v>0.0145</v>
      </c>
      <c r="R27" s="169">
        <f>IF(ROUND(Q27+P27,2)&gt;L27,ROUND(Q27+P27,2),ROUND(L27+0.005,2))</f>
        <v>0.6</v>
      </c>
      <c r="S27" s="170"/>
      <c r="T27" s="173">
        <v>0.74</v>
      </c>
      <c r="U27" s="123">
        <f t="shared" si="10"/>
        <v>-0.14</v>
      </c>
    </row>
    <row r="28" spans="1:20" ht="14.25" thickBot="1" thickTop="1">
      <c r="A28" s="21" t="s">
        <v>48</v>
      </c>
      <c r="L28" s="43"/>
      <c r="M28" s="43"/>
      <c r="N28" s="43"/>
      <c r="O28" s="43"/>
      <c r="P28" s="43"/>
      <c r="Q28" s="43"/>
      <c r="R28" s="170"/>
      <c r="S28" s="170"/>
      <c r="T28" s="170"/>
    </row>
    <row r="29" spans="1:21" ht="14.25" thickBot="1" thickTop="1">
      <c r="A29" s="21" t="s">
        <v>12</v>
      </c>
      <c r="B29" s="35">
        <f>'CNTNR COST'!G27</f>
        <v>1.1308</v>
      </c>
      <c r="C29" s="25">
        <v>0</v>
      </c>
      <c r="D29" s="25">
        <f>+$D$9</f>
        <v>-0.1067</v>
      </c>
      <c r="E29" s="39">
        <f>ROUND($E$11*4,4)</f>
        <v>0</v>
      </c>
      <c r="F29" s="39">
        <f>ROUND($F$11*4,4)</f>
        <v>-0.0052</v>
      </c>
      <c r="G29" s="25">
        <f>ROUND(SUM(B29:F29),4)</f>
        <v>1.0189</v>
      </c>
      <c r="H29" s="25">
        <f>(G29/(1-$H$5))-G29</f>
        <v>0.03695492227979269</v>
      </c>
      <c r="I29" s="25">
        <f>ROUND(G29+H29,4)</f>
        <v>1.0559</v>
      </c>
      <c r="J29" s="25">
        <f>ROUND(J$11*4,4)</f>
        <v>-0.522</v>
      </c>
      <c r="K29" s="25">
        <f>ROUND(K$11*4,4)</f>
        <v>0.9748</v>
      </c>
      <c r="L29" s="164">
        <f aca="true" t="shared" si="18" ref="L29:L37">ROUND(SUM(I29:K29),4)</f>
        <v>1.5087</v>
      </c>
      <c r="M29" s="41">
        <v>2.4405</v>
      </c>
      <c r="N29" s="41">
        <f>ROUND(L29-(L29*WHSLE_DISCNT),4)</f>
        <v>1.3277</v>
      </c>
      <c r="O29" s="41">
        <f>ROUND(4*STORE_COST,4)</f>
        <v>0</v>
      </c>
      <c r="P29" s="114">
        <f>N29+O29</f>
        <v>1.3277</v>
      </c>
      <c r="Q29" s="41">
        <f>ROUND(P29/(1-RETAIL_PRFT)-P29,4)</f>
        <v>0.0368</v>
      </c>
      <c r="R29" s="167">
        <f>IF(ROUND(Q29+P29,2)&gt;L29,ROUND(Q29+P29,2),ROUND(L29+0.005,2))</f>
        <v>1.51</v>
      </c>
      <c r="S29" s="170"/>
      <c r="T29" s="171">
        <v>2.6</v>
      </c>
      <c r="U29" s="121">
        <f aca="true" t="shared" si="19" ref="U29:U37">R29-T29</f>
        <v>-1.09</v>
      </c>
    </row>
    <row r="30" spans="1:21" ht="14.25" thickBot="1" thickTop="1">
      <c r="A30" s="21" t="s">
        <v>63</v>
      </c>
      <c r="B30" s="27">
        <f>'CNTNR COST'!G28</f>
        <v>0.5654</v>
      </c>
      <c r="C30" s="26">
        <v>0</v>
      </c>
      <c r="D30" s="26">
        <f>+$D$10</f>
        <v>-0.0419</v>
      </c>
      <c r="E30" s="31">
        <f>ROUND($E$11*2,4)</f>
        <v>0</v>
      </c>
      <c r="F30" s="31">
        <f>ROUND($F$11*2,4)</f>
        <v>-0.0026</v>
      </c>
      <c r="G30" s="26">
        <f aca="true" t="shared" si="20" ref="G30:G37">ROUND(SUM(B30:F30),4)</f>
        <v>0.5209</v>
      </c>
      <c r="H30" s="26">
        <f aca="true" t="shared" si="21" ref="H30:H37">(G30/(1-$H$5))-G30</f>
        <v>0.01889274611398961</v>
      </c>
      <c r="I30" s="26">
        <f aca="true" t="shared" si="22" ref="I30:I37">ROUND(G30+H30,4)</f>
        <v>0.5398</v>
      </c>
      <c r="J30" s="26">
        <f>ROUND(J$11*2,4)</f>
        <v>-0.261</v>
      </c>
      <c r="K30" s="26">
        <f>ROUND(K$11*2,4)</f>
        <v>0.4874</v>
      </c>
      <c r="L30" s="165">
        <f t="shared" si="18"/>
        <v>0.7662</v>
      </c>
      <c r="M30" s="30">
        <v>1.2655</v>
      </c>
      <c r="N30" s="30">
        <f aca="true" t="shared" si="23" ref="N30:N37">ROUND(L30-(L30*WHSLE_DISCNT),4)</f>
        <v>0.6743</v>
      </c>
      <c r="O30" s="30">
        <f>ROUND(2*STORE_COST,4)</f>
        <v>0</v>
      </c>
      <c r="P30" s="115">
        <f>O30+N30</f>
        <v>0.6743</v>
      </c>
      <c r="Q30" s="30">
        <f aca="true" t="shared" si="24" ref="Q30:Q37">ROUND(P30/(1-RETAIL_PRFT)-P30,4)</f>
        <v>0.0187</v>
      </c>
      <c r="R30" s="168">
        <f aca="true" t="shared" si="25" ref="R30:R36">IF(ROUND(Q30+P30,2)&gt;L30,ROUND(Q30+P30,2),ROUND(L30+0.005,2))</f>
        <v>0.77</v>
      </c>
      <c r="S30" s="170"/>
      <c r="T30" s="172">
        <v>1.34</v>
      </c>
      <c r="U30" s="122">
        <f t="shared" si="19"/>
        <v>-0.5700000000000001</v>
      </c>
    </row>
    <row r="31" spans="1:21" ht="14.25" thickBot="1" thickTop="1">
      <c r="A31" s="21" t="s">
        <v>14</v>
      </c>
      <c r="B31" s="27">
        <f>'CNTNR COST'!G29</f>
        <v>0.2827</v>
      </c>
      <c r="C31" s="26">
        <v>0</v>
      </c>
      <c r="D31" s="26">
        <f>+$D$11</f>
        <v>0.033</v>
      </c>
      <c r="E31" s="31">
        <f>ENERGY_ADDON</f>
        <v>0</v>
      </c>
      <c r="F31" s="31">
        <f>ROUND(COST_UPDATE_ADJ,4)</f>
        <v>-0.0013</v>
      </c>
      <c r="G31" s="26">
        <f t="shared" si="20"/>
        <v>0.3144</v>
      </c>
      <c r="H31" s="26">
        <f t="shared" si="21"/>
        <v>0.011403108808290152</v>
      </c>
      <c r="I31" s="26">
        <f t="shared" si="22"/>
        <v>0.3258</v>
      </c>
      <c r="J31" s="26">
        <f>$J$11</f>
        <v>-0.1305</v>
      </c>
      <c r="K31" s="26">
        <f>$K$11</f>
        <v>0.2437</v>
      </c>
      <c r="L31" s="165">
        <f t="shared" si="18"/>
        <v>0.439</v>
      </c>
      <c r="M31" s="30">
        <v>0.679</v>
      </c>
      <c r="N31" s="30">
        <f t="shared" si="23"/>
        <v>0.3863</v>
      </c>
      <c r="O31" s="30">
        <f>STORE_COST</f>
        <v>0</v>
      </c>
      <c r="P31" s="115">
        <f aca="true" t="shared" si="26" ref="P31:P37">O31+N31</f>
        <v>0.3863</v>
      </c>
      <c r="Q31" s="30">
        <f t="shared" si="24"/>
        <v>0.0107</v>
      </c>
      <c r="R31" s="168">
        <f t="shared" si="25"/>
        <v>0.44</v>
      </c>
      <c r="S31" s="170"/>
      <c r="T31" s="172">
        <v>0.71</v>
      </c>
      <c r="U31" s="122">
        <f t="shared" si="19"/>
        <v>-0.26999999999999996</v>
      </c>
    </row>
    <row r="32" spans="1:21" ht="14.25" thickBot="1" thickTop="1">
      <c r="A32" s="21" t="s">
        <v>15</v>
      </c>
      <c r="B32" s="27">
        <f>'CNTNR COST'!G30</f>
        <v>0.1414</v>
      </c>
      <c r="C32" s="26">
        <v>0</v>
      </c>
      <c r="D32" s="26">
        <f>+$D$12</f>
        <v>0.0755</v>
      </c>
      <c r="E32" s="31">
        <f>ROUND($E$11/2,4)</f>
        <v>0</v>
      </c>
      <c r="F32" s="31">
        <f>ROUND($F$11/2,4)</f>
        <v>-0.0007</v>
      </c>
      <c r="G32" s="26">
        <f t="shared" si="20"/>
        <v>0.2162</v>
      </c>
      <c r="H32" s="26">
        <f t="shared" si="21"/>
        <v>0.00784145077720208</v>
      </c>
      <c r="I32" s="26">
        <f t="shared" si="22"/>
        <v>0.224</v>
      </c>
      <c r="J32" s="26">
        <f>ROUND(J$11/2,4)</f>
        <v>-0.0653</v>
      </c>
      <c r="K32" s="26">
        <f>ROUND(K$11/2,4)</f>
        <v>0.1219</v>
      </c>
      <c r="L32" s="165">
        <f t="shared" si="18"/>
        <v>0.2806</v>
      </c>
      <c r="M32" s="30">
        <v>0.3714</v>
      </c>
      <c r="N32" s="30">
        <f t="shared" si="23"/>
        <v>0.2469</v>
      </c>
      <c r="O32" s="30">
        <f>ROUND(STORE_COST/2,4)</f>
        <v>0</v>
      </c>
      <c r="P32" s="115">
        <f t="shared" si="26"/>
        <v>0.2469</v>
      </c>
      <c r="Q32" s="30">
        <f t="shared" si="24"/>
        <v>0.0069</v>
      </c>
      <c r="R32" s="168">
        <f t="shared" si="25"/>
        <v>0.29</v>
      </c>
      <c r="S32" s="170"/>
      <c r="T32" s="172">
        <v>0.38</v>
      </c>
      <c r="U32" s="122">
        <f t="shared" si="19"/>
        <v>-0.09000000000000002</v>
      </c>
    </row>
    <row r="33" spans="1:21" ht="14.25" thickBot="1" thickTop="1">
      <c r="A33" s="21" t="s">
        <v>162</v>
      </c>
      <c r="B33" s="27">
        <f>'CNTNR COST'!G31</f>
        <v>0.1523</v>
      </c>
      <c r="C33" s="26"/>
      <c r="D33" s="30">
        <f>+$D$13</f>
        <v>0.0124</v>
      </c>
      <c r="E33" s="31">
        <f>ROUND($E$11/32*12,4)</f>
        <v>0</v>
      </c>
      <c r="F33" s="31">
        <f>ROUND($F$11/32*12,4)</f>
        <v>-0.0005</v>
      </c>
      <c r="G33" s="26">
        <f t="shared" si="20"/>
        <v>0.1642</v>
      </c>
      <c r="H33" s="26">
        <f t="shared" si="21"/>
        <v>0.005955440414507768</v>
      </c>
      <c r="I33" s="26">
        <f t="shared" si="22"/>
        <v>0.1702</v>
      </c>
      <c r="J33" s="26">
        <f>ROUND(J31/32*12,4)</f>
        <v>-0.0489</v>
      </c>
      <c r="K33" s="26">
        <f>ROUND(K31/32*12,4)</f>
        <v>0.0914</v>
      </c>
      <c r="L33" s="165">
        <f t="shared" si="18"/>
        <v>0.2127</v>
      </c>
      <c r="M33" s="30"/>
      <c r="N33" s="30">
        <f t="shared" si="23"/>
        <v>0.1872</v>
      </c>
      <c r="O33" s="30">
        <f>ROUND(STORE_COST/32*12,4)</f>
        <v>0</v>
      </c>
      <c r="P33" s="115">
        <f t="shared" si="26"/>
        <v>0.1872</v>
      </c>
      <c r="Q33" s="30">
        <f t="shared" si="24"/>
        <v>0.0052</v>
      </c>
      <c r="R33" s="168">
        <f t="shared" si="25"/>
        <v>0.22</v>
      </c>
      <c r="S33" s="170"/>
      <c r="T33" s="172"/>
      <c r="U33" s="122"/>
    </row>
    <row r="34" spans="1:21" ht="14.25" thickBot="1" thickTop="1">
      <c r="A34" s="21" t="s">
        <v>64</v>
      </c>
      <c r="B34" s="27">
        <f>'CNTNR COST'!G32</f>
        <v>0.1428</v>
      </c>
      <c r="C34" s="26">
        <v>0</v>
      </c>
      <c r="D34" s="26">
        <f>+$D$14</f>
        <v>0.0103</v>
      </c>
      <c r="E34" s="31">
        <f>ROUND($E$11/32*10,4)</f>
        <v>0</v>
      </c>
      <c r="F34" s="31">
        <f>ROUND($F$11/32*10,4)</f>
        <v>-0.0004</v>
      </c>
      <c r="G34" s="26">
        <f t="shared" si="20"/>
        <v>0.1527</v>
      </c>
      <c r="H34" s="26">
        <f t="shared" si="21"/>
        <v>0.005538341968911925</v>
      </c>
      <c r="I34" s="26">
        <f t="shared" si="22"/>
        <v>0.1582</v>
      </c>
      <c r="J34" s="26">
        <f>ROUND(J$11/3,4)</f>
        <v>-0.0435</v>
      </c>
      <c r="K34" s="26">
        <f>ROUND(K$11/3,4)</f>
        <v>0.0812</v>
      </c>
      <c r="L34" s="165">
        <f t="shared" si="18"/>
        <v>0.1959</v>
      </c>
      <c r="M34" s="30">
        <v>0.2597</v>
      </c>
      <c r="N34" s="30">
        <f t="shared" si="23"/>
        <v>0.1724</v>
      </c>
      <c r="O34" s="30">
        <f>ROUND(STORE_COST/32*10,4)</f>
        <v>0</v>
      </c>
      <c r="P34" s="115">
        <f t="shared" si="26"/>
        <v>0.1724</v>
      </c>
      <c r="Q34" s="30">
        <f t="shared" si="24"/>
        <v>0.0048</v>
      </c>
      <c r="R34" s="168">
        <f t="shared" si="25"/>
        <v>0.2</v>
      </c>
      <c r="S34" s="170"/>
      <c r="T34" s="172">
        <v>0.27</v>
      </c>
      <c r="U34" s="122">
        <f t="shared" si="19"/>
        <v>-0.07</v>
      </c>
    </row>
    <row r="35" spans="1:21" ht="14.25" thickBot="1" thickTop="1">
      <c r="A35" s="21" t="s">
        <v>65</v>
      </c>
      <c r="B35" s="27">
        <f>'CNTNR COST'!G33</f>
        <v>0.0707</v>
      </c>
      <c r="C35" s="26">
        <v>0</v>
      </c>
      <c r="D35" s="26">
        <f>+$D$15</f>
        <v>0.0367</v>
      </c>
      <c r="E35" s="31">
        <f>ROUND($E$11/4,4)</f>
        <v>0</v>
      </c>
      <c r="F35" s="31">
        <f>ROUND($F$11/4,4)</f>
        <v>-0.0003</v>
      </c>
      <c r="G35" s="26">
        <f t="shared" si="20"/>
        <v>0.1071</v>
      </c>
      <c r="H35" s="26">
        <f t="shared" si="21"/>
        <v>0.003884455958549221</v>
      </c>
      <c r="I35" s="26">
        <f t="shared" si="22"/>
        <v>0.111</v>
      </c>
      <c r="J35" s="26">
        <f>ROUND(J$11/4,4)</f>
        <v>-0.0326</v>
      </c>
      <c r="K35" s="26">
        <f>ROUND(K$11/4,4)</f>
        <v>0.0609</v>
      </c>
      <c r="L35" s="165">
        <f t="shared" si="18"/>
        <v>0.1393</v>
      </c>
      <c r="M35" s="30">
        <v>0.1958</v>
      </c>
      <c r="N35" s="30">
        <f t="shared" si="23"/>
        <v>0.1226</v>
      </c>
      <c r="O35" s="30">
        <f>ROUND(STORE_COST/4,4)</f>
        <v>0</v>
      </c>
      <c r="P35" s="115">
        <f t="shared" si="26"/>
        <v>0.1226</v>
      </c>
      <c r="Q35" s="30">
        <f t="shared" si="24"/>
        <v>0.0034</v>
      </c>
      <c r="R35" s="168">
        <f t="shared" si="25"/>
        <v>0.14</v>
      </c>
      <c r="S35" s="170"/>
      <c r="T35" s="172">
        <v>0.2</v>
      </c>
      <c r="U35" s="122">
        <f t="shared" si="19"/>
        <v>-0.06</v>
      </c>
    </row>
    <row r="36" spans="1:21" ht="14.25" thickBot="1" thickTop="1">
      <c r="A36" s="21" t="s">
        <v>66</v>
      </c>
      <c r="B36" s="27">
        <f>'CNTNR COST'!G34</f>
        <v>0.0616</v>
      </c>
      <c r="C36" s="26">
        <v>0</v>
      </c>
      <c r="D36" s="26">
        <f>+$D$16</f>
        <v>0.0373</v>
      </c>
      <c r="E36" s="31">
        <f>ROUND($E$11/8,4)</f>
        <v>0</v>
      </c>
      <c r="F36" s="31">
        <f>ROUND($F$11/8,4)</f>
        <v>-0.0002</v>
      </c>
      <c r="G36" s="26">
        <f t="shared" si="20"/>
        <v>0.0987</v>
      </c>
      <c r="H36" s="26">
        <f t="shared" si="21"/>
        <v>0.0035797927461139883</v>
      </c>
      <c r="I36" s="26">
        <f t="shared" si="22"/>
        <v>0.1023</v>
      </c>
      <c r="J36" s="26">
        <f>ROUND(J$11/8,4)</f>
        <v>-0.0163</v>
      </c>
      <c r="K36" s="26">
        <f>ROUND(K$11/8,4)</f>
        <v>0.0305</v>
      </c>
      <c r="L36" s="165">
        <f t="shared" si="18"/>
        <v>0.1165</v>
      </c>
      <c r="M36" s="30">
        <v>0.1154</v>
      </c>
      <c r="N36" s="30">
        <f t="shared" si="23"/>
        <v>0.1025</v>
      </c>
      <c r="O36" s="30">
        <f>ROUND(STORE_COST/8,4)</f>
        <v>0</v>
      </c>
      <c r="P36" s="115">
        <f t="shared" si="26"/>
        <v>0.1025</v>
      </c>
      <c r="Q36" s="30">
        <f t="shared" si="24"/>
        <v>0.0028</v>
      </c>
      <c r="R36" s="168">
        <f t="shared" si="25"/>
        <v>0.12</v>
      </c>
      <c r="S36" s="170"/>
      <c r="T36" s="172">
        <v>0.12</v>
      </c>
      <c r="U36" s="122">
        <f t="shared" si="19"/>
        <v>0</v>
      </c>
    </row>
    <row r="37" spans="1:21" ht="14.25" thickBot="1" thickTop="1">
      <c r="A37" s="21" t="s">
        <v>94</v>
      </c>
      <c r="B37" s="36">
        <f>'CNTNR COST'!G35</f>
        <v>0.3591</v>
      </c>
      <c r="C37" s="37">
        <v>0</v>
      </c>
      <c r="D37" s="37">
        <f>+$D$17</f>
        <v>0.1058</v>
      </c>
      <c r="E37" s="40">
        <f>ROUND($E$11,4)</f>
        <v>0</v>
      </c>
      <c r="F37" s="40">
        <f>ROUND($F$11,4)</f>
        <v>-0.0013</v>
      </c>
      <c r="G37" s="37">
        <f t="shared" si="20"/>
        <v>0.4636</v>
      </c>
      <c r="H37" s="37">
        <f t="shared" si="21"/>
        <v>0.01681450777202076</v>
      </c>
      <c r="I37" s="37">
        <f t="shared" si="22"/>
        <v>0.4804</v>
      </c>
      <c r="J37" s="37">
        <f>J$11</f>
        <v>-0.1305</v>
      </c>
      <c r="K37" s="37">
        <f>K$11</f>
        <v>0.2437</v>
      </c>
      <c r="L37" s="166">
        <f t="shared" si="18"/>
        <v>0.5936</v>
      </c>
      <c r="M37" s="42">
        <v>0.6654</v>
      </c>
      <c r="N37" s="42">
        <f t="shared" si="23"/>
        <v>0.5224</v>
      </c>
      <c r="O37" s="42">
        <f>STORE_COST</f>
        <v>0</v>
      </c>
      <c r="P37" s="42">
        <f t="shared" si="26"/>
        <v>0.5224</v>
      </c>
      <c r="Q37" s="42">
        <f t="shared" si="24"/>
        <v>0.0145</v>
      </c>
      <c r="R37" s="169">
        <f>IF(ROUND(Q37+P37,2)&gt;L37,ROUND(Q37+P37,2),ROUND(L37+0.005,2))</f>
        <v>0.6</v>
      </c>
      <c r="S37" s="170"/>
      <c r="T37" s="173">
        <v>0.7</v>
      </c>
      <c r="U37" s="123">
        <f t="shared" si="19"/>
        <v>-0.09999999999999998</v>
      </c>
    </row>
    <row r="38" spans="1:20" ht="14.25" thickBot="1" thickTop="1">
      <c r="A38" s="38" t="s">
        <v>49</v>
      </c>
      <c r="L38" s="43"/>
      <c r="M38" s="43"/>
      <c r="N38" s="43"/>
      <c r="O38" s="43"/>
      <c r="P38" s="43"/>
      <c r="Q38" s="43"/>
      <c r="R38" s="170"/>
      <c r="S38" s="170"/>
      <c r="T38" s="170"/>
    </row>
    <row r="39" spans="1:21" ht="14.25" thickBot="1" thickTop="1">
      <c r="A39" s="21" t="s">
        <v>12</v>
      </c>
      <c r="B39" s="35">
        <f>'CNTNR COST'!G37</f>
        <v>1.1377</v>
      </c>
      <c r="C39" s="25">
        <v>0</v>
      </c>
      <c r="D39" s="25">
        <f>+$D$9</f>
        <v>-0.1067</v>
      </c>
      <c r="E39" s="39">
        <f>ROUND($E$11*4,4)</f>
        <v>0</v>
      </c>
      <c r="F39" s="39">
        <f>ROUND($F$11*4,4)</f>
        <v>-0.0052</v>
      </c>
      <c r="G39" s="25">
        <f>ROUND(SUM(B39:F39),4)</f>
        <v>1.0258</v>
      </c>
      <c r="H39" s="25">
        <f>(G39/(1-$H$5))-G39</f>
        <v>0.03720518134715034</v>
      </c>
      <c r="I39" s="25">
        <f>ROUND(G39+H39,4)</f>
        <v>1.063</v>
      </c>
      <c r="J39" s="25">
        <f>ROUND(J$11*4,4)</f>
        <v>-0.522</v>
      </c>
      <c r="K39" s="25">
        <f>ROUND(K$11*4,4)</f>
        <v>0.9748</v>
      </c>
      <c r="L39" s="164">
        <f aca="true" t="shared" si="27" ref="L39:L47">ROUND(SUM(I39:K39),4)</f>
        <v>1.5158</v>
      </c>
      <c r="M39" s="41">
        <v>2.3136</v>
      </c>
      <c r="N39" s="41">
        <f>ROUND(L39-(L39*WHSLE_DISCNT),4)</f>
        <v>1.3339</v>
      </c>
      <c r="O39" s="41">
        <f>ROUND(4*STORE_COST,4)</f>
        <v>0</v>
      </c>
      <c r="P39" s="114">
        <f>N39+O39</f>
        <v>1.3339</v>
      </c>
      <c r="Q39" s="41">
        <f>ROUND(P39/(1-RETAIL_PRFT)-P39,4)</f>
        <v>0.037</v>
      </c>
      <c r="R39" s="167">
        <f>IF(ROUND(Q39+P39,2)&gt;L39,ROUND(Q39+P39,2),ROUND(L39+0.005,2))</f>
        <v>1.52</v>
      </c>
      <c r="S39" s="170"/>
      <c r="T39" s="171">
        <v>2.48</v>
      </c>
      <c r="U39" s="121">
        <f aca="true" t="shared" si="28" ref="U39:U47">R39-T39</f>
        <v>-0.96</v>
      </c>
    </row>
    <row r="40" spans="1:21" ht="14.25" thickBot="1" thickTop="1">
      <c r="A40" s="21" t="s">
        <v>63</v>
      </c>
      <c r="B40" s="27">
        <f>'CNTNR COST'!G38</f>
        <v>0.5689</v>
      </c>
      <c r="C40" s="26">
        <v>0</v>
      </c>
      <c r="D40" s="26">
        <f>+$D$10</f>
        <v>-0.0419</v>
      </c>
      <c r="E40" s="31">
        <f>ROUND($E$11*2,4)</f>
        <v>0</v>
      </c>
      <c r="F40" s="31">
        <f>ROUND($F$11*2,4)</f>
        <v>-0.0026</v>
      </c>
      <c r="G40" s="26">
        <f aca="true" t="shared" si="29" ref="G40:G47">ROUND(SUM(B40:F40),4)</f>
        <v>0.5244</v>
      </c>
      <c r="H40" s="26">
        <f aca="true" t="shared" si="30" ref="H40:H47">(G40/(1-$H$5))-G40</f>
        <v>0.019019689119170957</v>
      </c>
      <c r="I40" s="26">
        <f aca="true" t="shared" si="31" ref="I40:I47">ROUND(G40+H40,4)</f>
        <v>0.5434</v>
      </c>
      <c r="J40" s="26">
        <f>ROUND(J$11*2,4)</f>
        <v>-0.261</v>
      </c>
      <c r="K40" s="26">
        <f>ROUND(K$11*2,4)</f>
        <v>0.4874</v>
      </c>
      <c r="L40" s="165">
        <f t="shared" si="27"/>
        <v>0.7698</v>
      </c>
      <c r="M40" s="30">
        <v>1.2021</v>
      </c>
      <c r="N40" s="30">
        <f aca="true" t="shared" si="32" ref="N40:N47">ROUND(L40-(L40*WHSLE_DISCNT),4)</f>
        <v>0.6774</v>
      </c>
      <c r="O40" s="30">
        <f>ROUND(2*STORE_COST,4)</f>
        <v>0</v>
      </c>
      <c r="P40" s="115">
        <f>O40+N40</f>
        <v>0.6774</v>
      </c>
      <c r="Q40" s="30">
        <f aca="true" t="shared" si="33" ref="Q40:Q47">ROUND(P40/(1-RETAIL_PRFT)-P40,4)</f>
        <v>0.0188</v>
      </c>
      <c r="R40" s="168">
        <f aca="true" t="shared" si="34" ref="R40:R46">IF(ROUND(Q40+P40,2)&gt;L40,ROUND(Q40+P40,2),ROUND(L40+0.005,2))</f>
        <v>0.77</v>
      </c>
      <c r="S40" s="170"/>
      <c r="T40" s="172">
        <v>1.28</v>
      </c>
      <c r="U40" s="122">
        <f t="shared" si="28"/>
        <v>-0.51</v>
      </c>
    </row>
    <row r="41" spans="1:21" ht="14.25" thickBot="1" thickTop="1">
      <c r="A41" s="21" t="s">
        <v>14</v>
      </c>
      <c r="B41" s="27">
        <f>'CNTNR COST'!G39</f>
        <v>0.2844</v>
      </c>
      <c r="C41" s="26">
        <v>0</v>
      </c>
      <c r="D41" s="26">
        <f>+$D$11</f>
        <v>0.033</v>
      </c>
      <c r="E41" s="31">
        <f>ENERGY_ADDON</f>
        <v>0</v>
      </c>
      <c r="F41" s="31">
        <f>ROUND(COST_UPDATE_ADJ,4)</f>
        <v>-0.0013</v>
      </c>
      <c r="G41" s="26">
        <f t="shared" si="29"/>
        <v>0.3161</v>
      </c>
      <c r="H41" s="26">
        <f t="shared" si="30"/>
        <v>0.011464766839378249</v>
      </c>
      <c r="I41" s="26">
        <f t="shared" si="31"/>
        <v>0.3276</v>
      </c>
      <c r="J41" s="26">
        <f>$J$11</f>
        <v>-0.1305</v>
      </c>
      <c r="K41" s="26">
        <f>$K$11</f>
        <v>0.2437</v>
      </c>
      <c r="L41" s="165">
        <f t="shared" si="27"/>
        <v>0.4408</v>
      </c>
      <c r="M41" s="30">
        <v>0.6472</v>
      </c>
      <c r="N41" s="30">
        <f t="shared" si="32"/>
        <v>0.3879</v>
      </c>
      <c r="O41" s="30">
        <f>STORE_COST</f>
        <v>0</v>
      </c>
      <c r="P41" s="115">
        <f aca="true" t="shared" si="35" ref="P41:P47">O41+N41</f>
        <v>0.3879</v>
      </c>
      <c r="Q41" s="30">
        <f t="shared" si="33"/>
        <v>0.0108</v>
      </c>
      <c r="R41" s="168">
        <f t="shared" si="34"/>
        <v>0.45</v>
      </c>
      <c r="S41" s="170"/>
      <c r="T41" s="172">
        <v>0.68</v>
      </c>
      <c r="U41" s="122">
        <f t="shared" si="28"/>
        <v>-0.23000000000000004</v>
      </c>
    </row>
    <row r="42" spans="1:21" ht="14.25" thickBot="1" thickTop="1">
      <c r="A42" s="21" t="s">
        <v>15</v>
      </c>
      <c r="B42" s="27">
        <f>'CNTNR COST'!G40</f>
        <v>0.1422</v>
      </c>
      <c r="C42" s="26">
        <v>0</v>
      </c>
      <c r="D42" s="26">
        <f>+$D$12</f>
        <v>0.0755</v>
      </c>
      <c r="E42" s="31">
        <f>ROUND($E$11/2,4)</f>
        <v>0</v>
      </c>
      <c r="F42" s="31">
        <f>ROUND($F$11/2,4)</f>
        <v>-0.0007</v>
      </c>
      <c r="G42" s="26">
        <f t="shared" si="29"/>
        <v>0.217</v>
      </c>
      <c r="H42" s="26">
        <f t="shared" si="30"/>
        <v>0.007870466321243524</v>
      </c>
      <c r="I42" s="26">
        <f t="shared" si="31"/>
        <v>0.2249</v>
      </c>
      <c r="J42" s="26">
        <f>ROUND(J$11/2,4)</f>
        <v>-0.0653</v>
      </c>
      <c r="K42" s="26">
        <f>ROUND(K$11/2,4)</f>
        <v>0.1219</v>
      </c>
      <c r="L42" s="165">
        <f t="shared" si="27"/>
        <v>0.2815</v>
      </c>
      <c r="M42" s="30">
        <v>0.3555</v>
      </c>
      <c r="N42" s="30">
        <f t="shared" si="32"/>
        <v>0.2477</v>
      </c>
      <c r="O42" s="30">
        <f>ROUND(STORE_COST/2,4)</f>
        <v>0</v>
      </c>
      <c r="P42" s="115">
        <f t="shared" si="35"/>
        <v>0.2477</v>
      </c>
      <c r="Q42" s="30">
        <f t="shared" si="33"/>
        <v>0.0069</v>
      </c>
      <c r="R42" s="168">
        <f t="shared" si="34"/>
        <v>0.29</v>
      </c>
      <c r="S42" s="170"/>
      <c r="T42" s="172">
        <v>0.37</v>
      </c>
      <c r="U42" s="122">
        <f t="shared" si="28"/>
        <v>-0.08000000000000002</v>
      </c>
    </row>
    <row r="43" spans="1:21" ht="14.25" thickBot="1" thickTop="1">
      <c r="A43" s="21" t="s">
        <v>162</v>
      </c>
      <c r="B43" s="27">
        <f>'CNTNR COST'!G41</f>
        <v>0.153</v>
      </c>
      <c r="C43" s="26"/>
      <c r="D43" s="30">
        <f>+$D$13</f>
        <v>0.0124</v>
      </c>
      <c r="E43" s="31">
        <f>ROUND($E$11/32*12,4)</f>
        <v>0</v>
      </c>
      <c r="F43" s="31">
        <f>ROUND($F$11/32*12,4)</f>
        <v>-0.0005</v>
      </c>
      <c r="G43" s="26">
        <f t="shared" si="29"/>
        <v>0.1649</v>
      </c>
      <c r="H43" s="26">
        <f t="shared" si="30"/>
        <v>0.005980829015544059</v>
      </c>
      <c r="I43" s="26">
        <f t="shared" si="31"/>
        <v>0.1709</v>
      </c>
      <c r="J43" s="26">
        <f>ROUND(J41/32*12,4)</f>
        <v>-0.0489</v>
      </c>
      <c r="K43" s="26">
        <f>ROUND(K41/32*12,4)</f>
        <v>0.0914</v>
      </c>
      <c r="L43" s="165">
        <f t="shared" si="27"/>
        <v>0.2134</v>
      </c>
      <c r="M43" s="30"/>
      <c r="N43" s="30">
        <f t="shared" si="32"/>
        <v>0.1878</v>
      </c>
      <c r="O43" s="30">
        <f>ROUND(STORE_COST/32*12,4)</f>
        <v>0</v>
      </c>
      <c r="P43" s="115">
        <f t="shared" si="35"/>
        <v>0.1878</v>
      </c>
      <c r="Q43" s="30">
        <f t="shared" si="33"/>
        <v>0.0052</v>
      </c>
      <c r="R43" s="168">
        <f t="shared" si="34"/>
        <v>0.22</v>
      </c>
      <c r="S43" s="170"/>
      <c r="T43" s="172"/>
      <c r="U43" s="122"/>
    </row>
    <row r="44" spans="1:21" ht="14.25" thickBot="1" thickTop="1">
      <c r="A44" s="21" t="s">
        <v>64</v>
      </c>
      <c r="B44" s="27">
        <f>'CNTNR COST'!G42</f>
        <v>0.1433</v>
      </c>
      <c r="C44" s="26">
        <v>0</v>
      </c>
      <c r="D44" s="26">
        <f>+$D$14</f>
        <v>0.0103</v>
      </c>
      <c r="E44" s="31">
        <f>ROUND($E$11/32*10,4)</f>
        <v>0</v>
      </c>
      <c r="F44" s="31">
        <f>ROUND($F$11/32*10,4)</f>
        <v>-0.0004</v>
      </c>
      <c r="G44" s="26">
        <f t="shared" si="29"/>
        <v>0.1532</v>
      </c>
      <c r="H44" s="26">
        <f t="shared" si="30"/>
        <v>0.005556476683937828</v>
      </c>
      <c r="I44" s="26">
        <f t="shared" si="31"/>
        <v>0.1588</v>
      </c>
      <c r="J44" s="26">
        <f>ROUND(J$11/3,4)</f>
        <v>-0.0435</v>
      </c>
      <c r="K44" s="26">
        <f>ROUND(K$11/3,4)</f>
        <v>0.0812</v>
      </c>
      <c r="L44" s="165">
        <f t="shared" si="27"/>
        <v>0.1965</v>
      </c>
      <c r="M44" s="30">
        <v>0.2497</v>
      </c>
      <c r="N44" s="30">
        <f t="shared" si="32"/>
        <v>0.1729</v>
      </c>
      <c r="O44" s="30">
        <f>ROUND(STORE_COST/32*10,4)</f>
        <v>0</v>
      </c>
      <c r="P44" s="115">
        <f t="shared" si="35"/>
        <v>0.1729</v>
      </c>
      <c r="Q44" s="30">
        <f t="shared" si="33"/>
        <v>0.0048</v>
      </c>
      <c r="R44" s="168">
        <f t="shared" si="34"/>
        <v>0.2</v>
      </c>
      <c r="S44" s="170"/>
      <c r="T44" s="172">
        <v>0.26</v>
      </c>
      <c r="U44" s="122">
        <f t="shared" si="28"/>
        <v>-0.06</v>
      </c>
    </row>
    <row r="45" spans="1:21" ht="14.25" thickBot="1" thickTop="1">
      <c r="A45" s="21" t="s">
        <v>65</v>
      </c>
      <c r="B45" s="27">
        <f>'CNTNR COST'!G43</f>
        <v>0.0711</v>
      </c>
      <c r="C45" s="26">
        <v>0</v>
      </c>
      <c r="D45" s="26">
        <f>+$D$15</f>
        <v>0.0367</v>
      </c>
      <c r="E45" s="31">
        <f>ROUND($E$11/4,4)</f>
        <v>0</v>
      </c>
      <c r="F45" s="31">
        <f>ROUND($F$11/4,4)</f>
        <v>-0.0003</v>
      </c>
      <c r="G45" s="26">
        <f t="shared" si="29"/>
        <v>0.1075</v>
      </c>
      <c r="H45" s="26">
        <f t="shared" si="30"/>
        <v>0.003898963730569957</v>
      </c>
      <c r="I45" s="26">
        <f t="shared" si="31"/>
        <v>0.1114</v>
      </c>
      <c r="J45" s="26">
        <f>ROUND(J$11/4,4)</f>
        <v>-0.0326</v>
      </c>
      <c r="K45" s="26">
        <f>ROUND(K$11/4,4)</f>
        <v>0.0609</v>
      </c>
      <c r="L45" s="165">
        <f t="shared" si="27"/>
        <v>0.1397</v>
      </c>
      <c r="M45" s="30">
        <v>0.1878</v>
      </c>
      <c r="N45" s="30">
        <f t="shared" si="32"/>
        <v>0.1229</v>
      </c>
      <c r="O45" s="30">
        <f>ROUND(STORE_COST/4,4)</f>
        <v>0</v>
      </c>
      <c r="P45" s="115">
        <f t="shared" si="35"/>
        <v>0.1229</v>
      </c>
      <c r="Q45" s="30">
        <f t="shared" si="33"/>
        <v>0.0034</v>
      </c>
      <c r="R45" s="168">
        <f t="shared" si="34"/>
        <v>0.14</v>
      </c>
      <c r="S45" s="170"/>
      <c r="T45" s="172">
        <v>0.19</v>
      </c>
      <c r="U45" s="122">
        <f t="shared" si="28"/>
        <v>-0.04999999999999999</v>
      </c>
    </row>
    <row r="46" spans="1:21" ht="14.25" thickBot="1" thickTop="1">
      <c r="A46" s="21" t="s">
        <v>66</v>
      </c>
      <c r="B46" s="27">
        <f>'CNTNR COST'!G44</f>
        <v>0.0619</v>
      </c>
      <c r="C46" s="26">
        <v>0</v>
      </c>
      <c r="D46" s="26">
        <f>+$D$16</f>
        <v>0.0373</v>
      </c>
      <c r="E46" s="31">
        <f>ROUND($E$11/8,4)</f>
        <v>0</v>
      </c>
      <c r="F46" s="31">
        <f>ROUND($F$11/8,4)</f>
        <v>-0.0002</v>
      </c>
      <c r="G46" s="26">
        <f t="shared" si="29"/>
        <v>0.099</v>
      </c>
      <c r="H46" s="26">
        <f t="shared" si="30"/>
        <v>0.0035906735751295438</v>
      </c>
      <c r="I46" s="26">
        <f t="shared" si="31"/>
        <v>0.1026</v>
      </c>
      <c r="J46" s="26">
        <f>ROUND(J$11/8,4)</f>
        <v>-0.0163</v>
      </c>
      <c r="K46" s="26">
        <f>ROUND(K$11/8,4)</f>
        <v>0.0305</v>
      </c>
      <c r="L46" s="165">
        <f t="shared" si="27"/>
        <v>0.1168</v>
      </c>
      <c r="M46" s="30">
        <v>0.1114</v>
      </c>
      <c r="N46" s="30">
        <f t="shared" si="32"/>
        <v>0.1028</v>
      </c>
      <c r="O46" s="30">
        <f>ROUND(STORE_COST/8,4)</f>
        <v>0</v>
      </c>
      <c r="P46" s="115">
        <f t="shared" si="35"/>
        <v>0.1028</v>
      </c>
      <c r="Q46" s="30">
        <f t="shared" si="33"/>
        <v>0.0029</v>
      </c>
      <c r="R46" s="168">
        <f t="shared" si="34"/>
        <v>0.12</v>
      </c>
      <c r="S46" s="170"/>
      <c r="T46" s="172">
        <v>0.12</v>
      </c>
      <c r="U46" s="122">
        <f t="shared" si="28"/>
        <v>0</v>
      </c>
    </row>
    <row r="47" spans="1:21" ht="14.25" thickBot="1" thickTop="1">
      <c r="A47" s="21" t="s">
        <v>94</v>
      </c>
      <c r="B47" s="36">
        <f>'CNTNR COST'!G45</f>
        <v>0.3608</v>
      </c>
      <c r="C47" s="37">
        <v>0</v>
      </c>
      <c r="D47" s="37">
        <f>+$D$17</f>
        <v>0.1058</v>
      </c>
      <c r="E47" s="40">
        <f>ROUND($E$11,4)</f>
        <v>0</v>
      </c>
      <c r="F47" s="40">
        <f>ROUND($F$11,4)</f>
        <v>-0.0013</v>
      </c>
      <c r="G47" s="37">
        <f t="shared" si="29"/>
        <v>0.4653</v>
      </c>
      <c r="H47" s="37">
        <f t="shared" si="30"/>
        <v>0.0168761658031088</v>
      </c>
      <c r="I47" s="37">
        <f t="shared" si="31"/>
        <v>0.4822</v>
      </c>
      <c r="J47" s="37">
        <f>J$11</f>
        <v>-0.1305</v>
      </c>
      <c r="K47" s="37">
        <f>K$11</f>
        <v>0.2437</v>
      </c>
      <c r="L47" s="166">
        <f t="shared" si="27"/>
        <v>0.5954</v>
      </c>
      <c r="M47" s="42">
        <v>0.6337</v>
      </c>
      <c r="N47" s="42">
        <f t="shared" si="32"/>
        <v>0.524</v>
      </c>
      <c r="O47" s="42">
        <f>STORE_COST</f>
        <v>0</v>
      </c>
      <c r="P47" s="42">
        <f t="shared" si="35"/>
        <v>0.524</v>
      </c>
      <c r="Q47" s="42">
        <f t="shared" si="33"/>
        <v>0.0145</v>
      </c>
      <c r="R47" s="169">
        <f>IF(ROUND(Q47+P47,2)&gt;L47,ROUND(Q47+P47,2),ROUND(L47+0.005,2))</f>
        <v>0.6</v>
      </c>
      <c r="S47" s="170"/>
      <c r="T47" s="173">
        <v>0.67</v>
      </c>
      <c r="U47" s="123">
        <f t="shared" si="28"/>
        <v>-0.07000000000000006</v>
      </c>
    </row>
    <row r="48" spans="1:20" ht="14.25" thickBot="1" thickTop="1">
      <c r="A48" s="38" t="s">
        <v>25</v>
      </c>
      <c r="L48" s="43"/>
      <c r="M48" s="43"/>
      <c r="N48" s="43"/>
      <c r="O48" s="43"/>
      <c r="P48" s="43"/>
      <c r="Q48" s="43"/>
      <c r="R48" s="170"/>
      <c r="S48" s="170"/>
      <c r="T48" s="170"/>
    </row>
    <row r="49" spans="1:21" ht="14.25" thickBot="1" thickTop="1">
      <c r="A49" s="21" t="s">
        <v>12</v>
      </c>
      <c r="B49" s="35">
        <f>'CNTNR COST'!G47</f>
        <v>1.1296</v>
      </c>
      <c r="C49" s="25">
        <v>0</v>
      </c>
      <c r="D49" s="25">
        <f>+$D$9</f>
        <v>-0.1067</v>
      </c>
      <c r="E49" s="39">
        <f>ROUND($E$11*4,4)</f>
        <v>0</v>
      </c>
      <c r="F49" s="39">
        <f>ROUND($F$11*4,4)</f>
        <v>-0.0052</v>
      </c>
      <c r="G49" s="25">
        <f>ROUND(SUM(B49:F49),4)</f>
        <v>1.0177</v>
      </c>
      <c r="H49" s="25">
        <f>(G49/(1-$H$5))-G49</f>
        <v>0.036911398963730635</v>
      </c>
      <c r="I49" s="25">
        <f>ROUND(G49+H49,4)</f>
        <v>1.0546</v>
      </c>
      <c r="J49" s="25">
        <f>ROUND(J$11*4,4)</f>
        <v>-0.522</v>
      </c>
      <c r="K49" s="25">
        <f>ROUND(K$11*4,4)</f>
        <v>0.9748</v>
      </c>
      <c r="L49" s="164">
        <f aca="true" t="shared" si="36" ref="L49:L57">ROUND(SUM(I49:K49),4)</f>
        <v>1.5074</v>
      </c>
      <c r="M49" s="41">
        <v>2.9726</v>
      </c>
      <c r="N49" s="41">
        <f>ROUND(L49-(L49*WHSLE_DISCNT),4)</f>
        <v>1.3265</v>
      </c>
      <c r="O49" s="41">
        <f>ROUND(4*STORE_COST,4)</f>
        <v>0</v>
      </c>
      <c r="P49" s="114">
        <f>N49+O49</f>
        <v>1.3265</v>
      </c>
      <c r="Q49" s="41">
        <f>ROUND(P49/(1-RETAIL_PRFT)-P49,4)</f>
        <v>0.0368</v>
      </c>
      <c r="R49" s="167">
        <f>IF(ROUND(Q49+P49,2)&gt;L49,ROUND(Q49+P49,2),ROUND(L49+0.005,2))</f>
        <v>1.51</v>
      </c>
      <c r="S49" s="170"/>
      <c r="T49" s="171">
        <v>3.08</v>
      </c>
      <c r="U49" s="121">
        <f aca="true" t="shared" si="37" ref="U49:U57">R49-T49</f>
        <v>-1.57</v>
      </c>
    </row>
    <row r="50" spans="1:21" ht="14.25" thickBot="1" thickTop="1">
      <c r="A50" s="21" t="s">
        <v>63</v>
      </c>
      <c r="B50" s="27">
        <f>'CNTNR COST'!G48</f>
        <v>0.5648</v>
      </c>
      <c r="C50" s="26">
        <v>0</v>
      </c>
      <c r="D50" s="26">
        <f>+$D$10</f>
        <v>-0.0419</v>
      </c>
      <c r="E50" s="31">
        <f>ROUND($E$11*2,4)</f>
        <v>0</v>
      </c>
      <c r="F50" s="31">
        <f>ROUND($F$11*2,4)</f>
        <v>-0.0026</v>
      </c>
      <c r="G50" s="26">
        <f aca="true" t="shared" si="38" ref="G50:G57">ROUND(SUM(B50:F50),4)</f>
        <v>0.5203</v>
      </c>
      <c r="H50" s="26">
        <f aca="true" t="shared" si="39" ref="H50:H57">(G50/(1-$H$5))-G50</f>
        <v>0.018870984455958584</v>
      </c>
      <c r="I50" s="26">
        <f aca="true" t="shared" si="40" ref="I50:I57">ROUND(G50+H50,4)</f>
        <v>0.5392</v>
      </c>
      <c r="J50" s="26">
        <f>ROUND(J$11*2,4)</f>
        <v>-0.261</v>
      </c>
      <c r="K50" s="26">
        <f>ROUND(K$11*2,4)</f>
        <v>0.4874</v>
      </c>
      <c r="L50" s="165">
        <f t="shared" si="36"/>
        <v>0.7656</v>
      </c>
      <c r="M50" s="30">
        <v>1.5316</v>
      </c>
      <c r="N50" s="30">
        <f aca="true" t="shared" si="41" ref="N50:N57">ROUND(L50-(L50*WHSLE_DISCNT),4)</f>
        <v>0.6737</v>
      </c>
      <c r="O50" s="30">
        <f>ROUND(2*STORE_COST,4)</f>
        <v>0</v>
      </c>
      <c r="P50" s="115">
        <f>O50+N50</f>
        <v>0.6737</v>
      </c>
      <c r="Q50" s="30">
        <f aca="true" t="shared" si="42" ref="Q50:Q57">ROUND(P50/(1-RETAIL_PRFT)-P50,4)</f>
        <v>0.0187</v>
      </c>
      <c r="R50" s="168">
        <f aca="true" t="shared" si="43" ref="R50:R56">IF(ROUND(Q50+P50,2)&gt;L50,ROUND(Q50+P50,2),ROUND(L50+0.005,2))</f>
        <v>0.77</v>
      </c>
      <c r="S50" s="170"/>
      <c r="T50" s="172">
        <v>1.58</v>
      </c>
      <c r="U50" s="122">
        <f t="shared" si="37"/>
        <v>-0.81</v>
      </c>
    </row>
    <row r="51" spans="1:21" ht="14.25" thickBot="1" thickTop="1">
      <c r="A51" s="21" t="s">
        <v>14</v>
      </c>
      <c r="B51" s="27">
        <f>'CNTNR COST'!G49</f>
        <v>0.2824</v>
      </c>
      <c r="C51" s="26">
        <v>0</v>
      </c>
      <c r="D51" s="26">
        <f>+$D$11</f>
        <v>0.033</v>
      </c>
      <c r="E51" s="31">
        <f>ENERGY_ADDON</f>
        <v>0</v>
      </c>
      <c r="F51" s="31">
        <f>ROUND(COST_UPDATE_ADJ,4)</f>
        <v>-0.0013</v>
      </c>
      <c r="G51" s="26">
        <f t="shared" si="38"/>
        <v>0.3141</v>
      </c>
      <c r="H51" s="26">
        <f t="shared" si="39"/>
        <v>0.011392227979274638</v>
      </c>
      <c r="I51" s="26">
        <f t="shared" si="40"/>
        <v>0.3255</v>
      </c>
      <c r="J51" s="26">
        <f>$J$11</f>
        <v>-0.1305</v>
      </c>
      <c r="K51" s="26">
        <f>$K$11</f>
        <v>0.2437</v>
      </c>
      <c r="L51" s="165">
        <f t="shared" si="36"/>
        <v>0.4387</v>
      </c>
      <c r="M51" s="30">
        <v>0.812</v>
      </c>
      <c r="N51" s="30">
        <f t="shared" si="41"/>
        <v>0.3861</v>
      </c>
      <c r="O51" s="30">
        <f>STORE_COST</f>
        <v>0</v>
      </c>
      <c r="P51" s="115">
        <f aca="true" t="shared" si="44" ref="P51:P57">O51+N51</f>
        <v>0.3861</v>
      </c>
      <c r="Q51" s="30">
        <f t="shared" si="42"/>
        <v>0.0107</v>
      </c>
      <c r="R51" s="168">
        <f t="shared" si="43"/>
        <v>0.44</v>
      </c>
      <c r="S51" s="170"/>
      <c r="T51" s="172">
        <v>0.83</v>
      </c>
      <c r="U51" s="122">
        <f t="shared" si="37"/>
        <v>-0.38999999999999996</v>
      </c>
    </row>
    <row r="52" spans="1:21" ht="14.25" thickBot="1" thickTop="1">
      <c r="A52" s="21" t="s">
        <v>15</v>
      </c>
      <c r="B52" s="27">
        <f>'CNTNR COST'!G50</f>
        <v>0.1412</v>
      </c>
      <c r="C52" s="26">
        <v>0</v>
      </c>
      <c r="D52" s="26">
        <f>+$D$12</f>
        <v>0.0755</v>
      </c>
      <c r="E52" s="31">
        <f>ROUND($E$11/2,4)</f>
        <v>0</v>
      </c>
      <c r="F52" s="31">
        <f>ROUND($F$11/2,4)</f>
        <v>-0.0007</v>
      </c>
      <c r="G52" s="26">
        <f t="shared" si="38"/>
        <v>0.216</v>
      </c>
      <c r="H52" s="26">
        <f t="shared" si="39"/>
        <v>0.00783419689119172</v>
      </c>
      <c r="I52" s="26">
        <f t="shared" si="40"/>
        <v>0.2238</v>
      </c>
      <c r="J52" s="26">
        <f>ROUND(J$11/2,4)</f>
        <v>-0.0653</v>
      </c>
      <c r="K52" s="26">
        <f>ROUND(K$11/2,4)</f>
        <v>0.1219</v>
      </c>
      <c r="L52" s="165">
        <f t="shared" si="36"/>
        <v>0.2804</v>
      </c>
      <c r="M52" s="30">
        <v>0.4379</v>
      </c>
      <c r="N52" s="30">
        <f t="shared" si="41"/>
        <v>0.2468</v>
      </c>
      <c r="O52" s="30">
        <f>ROUND(STORE_COST/2,4)</f>
        <v>0</v>
      </c>
      <c r="P52" s="115">
        <f t="shared" si="44"/>
        <v>0.2468</v>
      </c>
      <c r="Q52" s="30">
        <f t="shared" si="42"/>
        <v>0.0068</v>
      </c>
      <c r="R52" s="168">
        <f t="shared" si="43"/>
        <v>0.29</v>
      </c>
      <c r="S52" s="170"/>
      <c r="T52" s="172">
        <v>0.44</v>
      </c>
      <c r="U52" s="122">
        <f t="shared" si="37"/>
        <v>-0.15000000000000002</v>
      </c>
    </row>
    <row r="53" spans="1:21" ht="14.25" thickBot="1" thickTop="1">
      <c r="A53" s="21" t="s">
        <v>162</v>
      </c>
      <c r="B53" s="27">
        <f>'CNTNR COST'!G51</f>
        <v>0.1522</v>
      </c>
      <c r="C53" s="26"/>
      <c r="D53" s="30">
        <f>+$D$13</f>
        <v>0.0124</v>
      </c>
      <c r="E53" s="31">
        <f>ROUND($E$11/32*12,4)</f>
        <v>0</v>
      </c>
      <c r="F53" s="31">
        <f>ROUND($F$11/32*12,4)</f>
        <v>-0.0005</v>
      </c>
      <c r="G53" s="26">
        <f t="shared" si="38"/>
        <v>0.1641</v>
      </c>
      <c r="H53" s="26">
        <f t="shared" si="39"/>
        <v>0.005951813471502587</v>
      </c>
      <c r="I53" s="26">
        <f t="shared" si="40"/>
        <v>0.1701</v>
      </c>
      <c r="J53" s="26">
        <f>ROUND(J51/32*12,4)</f>
        <v>-0.0489</v>
      </c>
      <c r="K53" s="26">
        <f>ROUND(K51/32*12,4)</f>
        <v>0.0914</v>
      </c>
      <c r="L53" s="165">
        <f t="shared" si="36"/>
        <v>0.2126</v>
      </c>
      <c r="M53" s="30"/>
      <c r="N53" s="30">
        <f t="shared" si="41"/>
        <v>0.1871</v>
      </c>
      <c r="O53" s="30">
        <f>ROUND(STORE_COST/32*12,4)</f>
        <v>0</v>
      </c>
      <c r="P53" s="115">
        <f t="shared" si="44"/>
        <v>0.1871</v>
      </c>
      <c r="Q53" s="30">
        <f t="shared" si="42"/>
        <v>0.0052</v>
      </c>
      <c r="R53" s="168">
        <f t="shared" si="43"/>
        <v>0.22</v>
      </c>
      <c r="S53" s="170"/>
      <c r="T53" s="172"/>
      <c r="U53" s="122"/>
    </row>
    <row r="54" spans="1:21" ht="14.25" thickBot="1" thickTop="1">
      <c r="A54" s="21" t="s">
        <v>64</v>
      </c>
      <c r="B54" s="27">
        <f>'CNTNR COST'!G52</f>
        <v>0.1427</v>
      </c>
      <c r="C54" s="26">
        <v>0</v>
      </c>
      <c r="D54" s="26">
        <f>+$D$14</f>
        <v>0.0103</v>
      </c>
      <c r="E54" s="31">
        <f>ROUND($E$11/32*10,4)</f>
        <v>0</v>
      </c>
      <c r="F54" s="31">
        <f>ROUND($F$11/32*10,4)</f>
        <v>-0.0004</v>
      </c>
      <c r="G54" s="26">
        <f t="shared" si="38"/>
        <v>0.1526</v>
      </c>
      <c r="H54" s="26">
        <f t="shared" si="39"/>
        <v>0.005534715025906745</v>
      </c>
      <c r="I54" s="26">
        <f t="shared" si="40"/>
        <v>0.1581</v>
      </c>
      <c r="J54" s="26">
        <f>ROUND(J$11/3,4)</f>
        <v>-0.0435</v>
      </c>
      <c r="K54" s="26">
        <f>ROUND(K$11/3,4)</f>
        <v>0.0812</v>
      </c>
      <c r="L54" s="165">
        <f t="shared" si="36"/>
        <v>0.1958</v>
      </c>
      <c r="M54" s="30">
        <v>0.3013</v>
      </c>
      <c r="N54" s="30">
        <f t="shared" si="41"/>
        <v>0.1723</v>
      </c>
      <c r="O54" s="30">
        <f>ROUND(STORE_COST/32*10,4)</f>
        <v>0</v>
      </c>
      <c r="P54" s="115">
        <f t="shared" si="44"/>
        <v>0.1723</v>
      </c>
      <c r="Q54" s="30">
        <f t="shared" si="42"/>
        <v>0.0048</v>
      </c>
      <c r="R54" s="168">
        <f t="shared" si="43"/>
        <v>0.2</v>
      </c>
      <c r="S54" s="170"/>
      <c r="T54" s="172">
        <v>0.31</v>
      </c>
      <c r="U54" s="122">
        <f t="shared" si="37"/>
        <v>-0.10999999999999999</v>
      </c>
    </row>
    <row r="55" spans="1:21" ht="14.25" thickBot="1" thickTop="1">
      <c r="A55" s="21" t="s">
        <v>65</v>
      </c>
      <c r="B55" s="27">
        <f>'CNTNR COST'!G53</f>
        <v>0.0706</v>
      </c>
      <c r="C55" s="26">
        <v>0</v>
      </c>
      <c r="D55" s="26">
        <f>+$D$15</f>
        <v>0.0367</v>
      </c>
      <c r="E55" s="31">
        <f>ROUND($E$11/4,4)</f>
        <v>0</v>
      </c>
      <c r="F55" s="31">
        <f>ROUND($F$11/4,4)</f>
        <v>-0.0003</v>
      </c>
      <c r="G55" s="26">
        <f t="shared" si="38"/>
        <v>0.107</v>
      </c>
      <c r="H55" s="26">
        <f t="shared" si="39"/>
        <v>0.0038808290155440406</v>
      </c>
      <c r="I55" s="26">
        <f t="shared" si="40"/>
        <v>0.1109</v>
      </c>
      <c r="J55" s="26">
        <f>ROUND(J$11/4,4)</f>
        <v>-0.0326</v>
      </c>
      <c r="K55" s="26">
        <f>ROUND(K$11/4,4)</f>
        <v>0.0609</v>
      </c>
      <c r="L55" s="165">
        <f t="shared" si="36"/>
        <v>0.1392</v>
      </c>
      <c r="M55" s="30">
        <v>0.2291</v>
      </c>
      <c r="N55" s="30">
        <f t="shared" si="41"/>
        <v>0.1225</v>
      </c>
      <c r="O55" s="30">
        <f>ROUND(STORE_COST/4,4)</f>
        <v>0</v>
      </c>
      <c r="P55" s="115">
        <f t="shared" si="44"/>
        <v>0.1225</v>
      </c>
      <c r="Q55" s="30">
        <f t="shared" si="42"/>
        <v>0.0034</v>
      </c>
      <c r="R55" s="168">
        <f t="shared" si="43"/>
        <v>0.14</v>
      </c>
      <c r="S55" s="170"/>
      <c r="T55" s="172">
        <v>0.23</v>
      </c>
      <c r="U55" s="122">
        <f t="shared" si="37"/>
        <v>-0.09</v>
      </c>
    </row>
    <row r="56" spans="1:21" ht="14.25" thickBot="1" thickTop="1">
      <c r="A56" s="21" t="s">
        <v>66</v>
      </c>
      <c r="B56" s="27">
        <f>'CNTNR COST'!G54</f>
        <v>0.0616</v>
      </c>
      <c r="C56" s="26">
        <v>0</v>
      </c>
      <c r="D56" s="26">
        <f>+$D$16</f>
        <v>0.0373</v>
      </c>
      <c r="E56" s="31">
        <f>ROUND($E$11/8,4)</f>
        <v>0</v>
      </c>
      <c r="F56" s="31">
        <f>ROUND($F$11/8,4)</f>
        <v>-0.0002</v>
      </c>
      <c r="G56" s="26">
        <f t="shared" si="38"/>
        <v>0.0987</v>
      </c>
      <c r="H56" s="26">
        <f t="shared" si="39"/>
        <v>0.0035797927461139883</v>
      </c>
      <c r="I56" s="26">
        <f t="shared" si="40"/>
        <v>0.1023</v>
      </c>
      <c r="J56" s="26">
        <f>ROUND(J$11/8,4)</f>
        <v>-0.0163</v>
      </c>
      <c r="K56" s="26">
        <f>ROUND(K$11/8,4)</f>
        <v>0.0305</v>
      </c>
      <c r="L56" s="165">
        <f t="shared" si="36"/>
        <v>0.1165</v>
      </c>
      <c r="M56" s="30">
        <v>0.132</v>
      </c>
      <c r="N56" s="30">
        <f t="shared" si="41"/>
        <v>0.1025</v>
      </c>
      <c r="O56" s="30">
        <f>ROUND(STORE_COST/8,4)</f>
        <v>0</v>
      </c>
      <c r="P56" s="115">
        <f t="shared" si="44"/>
        <v>0.1025</v>
      </c>
      <c r="Q56" s="30">
        <f t="shared" si="42"/>
        <v>0.0028</v>
      </c>
      <c r="R56" s="168">
        <f t="shared" si="43"/>
        <v>0.12</v>
      </c>
      <c r="S56" s="170"/>
      <c r="T56" s="172">
        <v>0.14</v>
      </c>
      <c r="U56" s="122">
        <f t="shared" si="37"/>
        <v>-0.020000000000000018</v>
      </c>
    </row>
    <row r="57" spans="1:21" ht="14.25" thickBot="1" thickTop="1">
      <c r="A57" s="21" t="s">
        <v>94</v>
      </c>
      <c r="B57" s="36">
        <f>'CNTNR COST'!G55</f>
        <v>0.3588</v>
      </c>
      <c r="C57" s="37">
        <v>0</v>
      </c>
      <c r="D57" s="37">
        <f>+$D$17</f>
        <v>0.1058</v>
      </c>
      <c r="E57" s="40">
        <f>ROUND($E$11,4)</f>
        <v>0</v>
      </c>
      <c r="F57" s="40">
        <f>ROUND($F$11,4)</f>
        <v>-0.0013</v>
      </c>
      <c r="G57" s="37">
        <f t="shared" si="38"/>
        <v>0.4633</v>
      </c>
      <c r="H57" s="37">
        <f t="shared" si="39"/>
        <v>0.01680362694300519</v>
      </c>
      <c r="I57" s="37">
        <f t="shared" si="40"/>
        <v>0.4801</v>
      </c>
      <c r="J57" s="37">
        <f>J$11</f>
        <v>-0.1305</v>
      </c>
      <c r="K57" s="37">
        <f>K$11</f>
        <v>0.2437</v>
      </c>
      <c r="L57" s="166">
        <f t="shared" si="36"/>
        <v>0.5933</v>
      </c>
      <c r="M57" s="42">
        <v>0.7984</v>
      </c>
      <c r="N57" s="42">
        <f t="shared" si="41"/>
        <v>0.5221</v>
      </c>
      <c r="O57" s="42">
        <f>STORE_COST</f>
        <v>0</v>
      </c>
      <c r="P57" s="42">
        <f t="shared" si="44"/>
        <v>0.5221</v>
      </c>
      <c r="Q57" s="42">
        <f t="shared" si="42"/>
        <v>0.0145</v>
      </c>
      <c r="R57" s="169">
        <f>IF(ROUND(Q57+P57,2)&gt;L57,ROUND(Q57+P57,2),ROUND(L57+0.005,2))</f>
        <v>0.6</v>
      </c>
      <c r="S57" s="170"/>
      <c r="T57" s="173">
        <v>0.82</v>
      </c>
      <c r="U57" s="123">
        <f t="shared" si="37"/>
        <v>-0.21999999999999997</v>
      </c>
    </row>
    <row r="58" spans="1:20" ht="14.25" thickBot="1" thickTop="1">
      <c r="A58" s="21" t="s">
        <v>50</v>
      </c>
      <c r="L58" s="43"/>
      <c r="M58" s="43"/>
      <c r="N58" s="43"/>
      <c r="O58" s="43"/>
      <c r="P58" s="43"/>
      <c r="Q58" s="43"/>
      <c r="R58" s="170"/>
      <c r="S58" s="170"/>
      <c r="T58" s="170"/>
    </row>
    <row r="59" spans="1:21" ht="14.25" thickBot="1" thickTop="1">
      <c r="A59" s="21" t="s">
        <v>12</v>
      </c>
      <c r="B59" s="35">
        <f>'CNTNR COST'!G57</f>
        <v>1.1296</v>
      </c>
      <c r="C59" s="25">
        <v>0</v>
      </c>
      <c r="D59" s="25">
        <f>+$D$9</f>
        <v>-0.1067</v>
      </c>
      <c r="E59" s="39">
        <f>ROUND($E$11*4,4)</f>
        <v>0</v>
      </c>
      <c r="F59" s="39">
        <f>ROUND($F$11*4,4)</f>
        <v>-0.0052</v>
      </c>
      <c r="G59" s="25">
        <f>ROUND(SUM(B59:F59),4)</f>
        <v>1.0177</v>
      </c>
      <c r="H59" s="25">
        <f>(G59/(1-$H$5))-G59</f>
        <v>0.036911398963730635</v>
      </c>
      <c r="I59" s="25">
        <f>ROUND(G59+H59,4)</f>
        <v>1.0546</v>
      </c>
      <c r="J59" s="25">
        <f>ROUND(J$11*4,4)</f>
        <v>-0.522</v>
      </c>
      <c r="K59" s="25">
        <f>ROUND(K$11*4,4)</f>
        <v>0.9748</v>
      </c>
      <c r="L59" s="164">
        <f aca="true" t="shared" si="45" ref="L59:L67">ROUND(SUM(I59:K59),4)</f>
        <v>1.5074</v>
      </c>
      <c r="M59" s="41">
        <v>2.6418</v>
      </c>
      <c r="N59" s="41">
        <f>ROUND(L59-(L59*WHSLE_DISCNT),4)</f>
        <v>1.3265</v>
      </c>
      <c r="O59" s="41">
        <f>ROUND(4*STORE_COST,4)</f>
        <v>0</v>
      </c>
      <c r="P59" s="114">
        <f>N59+O59</f>
        <v>1.3265</v>
      </c>
      <c r="Q59" s="41">
        <f>ROUND(P59/(1-RETAIL_PRFT)-P59,4)</f>
        <v>0.0368</v>
      </c>
      <c r="R59" s="167">
        <f>IF(ROUND(Q59+P59,2)&gt;L59,ROUND(Q59+P59,2),ROUND(L59+0.005,2))</f>
        <v>1.51</v>
      </c>
      <c r="S59" s="170"/>
      <c r="T59" s="171">
        <v>2.78</v>
      </c>
      <c r="U59" s="121">
        <f aca="true" t="shared" si="46" ref="U59:U67">R59-T59</f>
        <v>-1.2699999999999998</v>
      </c>
    </row>
    <row r="60" spans="1:21" ht="14.25" thickBot="1" thickTop="1">
      <c r="A60" s="21" t="s">
        <v>63</v>
      </c>
      <c r="B60" s="27">
        <f>'CNTNR COST'!G58</f>
        <v>0.5648</v>
      </c>
      <c r="C60" s="26">
        <v>0</v>
      </c>
      <c r="D60" s="26">
        <f>+$D$10</f>
        <v>-0.0419</v>
      </c>
      <c r="E60" s="31">
        <f>ROUND($E$11*2,4)</f>
        <v>0</v>
      </c>
      <c r="F60" s="31">
        <f>ROUND($F$11*2,4)</f>
        <v>-0.0026</v>
      </c>
      <c r="G60" s="26">
        <f aca="true" t="shared" si="47" ref="G60:G67">ROUND(SUM(B60:F60),4)</f>
        <v>0.5203</v>
      </c>
      <c r="H60" s="26">
        <f aca="true" t="shared" si="48" ref="H60:H67">(G60/(1-$H$5))-G60</f>
        <v>0.018870984455958584</v>
      </c>
      <c r="I60" s="26">
        <f aca="true" t="shared" si="49" ref="I60:I67">ROUND(G60+H60,4)</f>
        <v>0.5392</v>
      </c>
      <c r="J60" s="26">
        <f>ROUND(J$11*2,4)</f>
        <v>-0.261</v>
      </c>
      <c r="K60" s="26">
        <f>ROUND(K$11*2,4)</f>
        <v>0.4874</v>
      </c>
      <c r="L60" s="165">
        <f t="shared" si="45"/>
        <v>0.7656</v>
      </c>
      <c r="M60" s="30">
        <v>1.3662</v>
      </c>
      <c r="N60" s="30">
        <f aca="true" t="shared" si="50" ref="N60:N67">ROUND(L60-(L60*WHSLE_DISCNT),4)</f>
        <v>0.6737</v>
      </c>
      <c r="O60" s="30">
        <f>ROUND(2*STORE_COST,4)</f>
        <v>0</v>
      </c>
      <c r="P60" s="115">
        <f>O60+N60</f>
        <v>0.6737</v>
      </c>
      <c r="Q60" s="30">
        <f aca="true" t="shared" si="51" ref="Q60:Q67">ROUND(P60/(1-RETAIL_PRFT)-P60,4)</f>
        <v>0.0187</v>
      </c>
      <c r="R60" s="168">
        <f aca="true" t="shared" si="52" ref="R60:R66">IF(ROUND(Q60+P60,2)&gt;L60,ROUND(Q60+P60,2),ROUND(L60+0.005,2))</f>
        <v>0.77</v>
      </c>
      <c r="S60" s="170"/>
      <c r="T60" s="172">
        <v>1.43</v>
      </c>
      <c r="U60" s="122">
        <f t="shared" si="46"/>
        <v>-0.6599999999999999</v>
      </c>
    </row>
    <row r="61" spans="1:21" ht="14.25" thickBot="1" thickTop="1">
      <c r="A61" s="21" t="s">
        <v>14</v>
      </c>
      <c r="B61" s="27">
        <f>'CNTNR COST'!G59</f>
        <v>0.2824</v>
      </c>
      <c r="C61" s="26">
        <v>0</v>
      </c>
      <c r="D61" s="26">
        <f>+$D$11</f>
        <v>0.033</v>
      </c>
      <c r="E61" s="31">
        <f>ENERGY_ADDON</f>
        <v>0</v>
      </c>
      <c r="F61" s="31">
        <f>ROUND(COST_UPDATE_ADJ,4)</f>
        <v>-0.0013</v>
      </c>
      <c r="G61" s="26">
        <f t="shared" si="47"/>
        <v>0.3141</v>
      </c>
      <c r="H61" s="26">
        <f t="shared" si="48"/>
        <v>0.011392227979274638</v>
      </c>
      <c r="I61" s="26">
        <f t="shared" si="49"/>
        <v>0.3255</v>
      </c>
      <c r="J61" s="26">
        <f>$J$11</f>
        <v>-0.1305</v>
      </c>
      <c r="K61" s="26">
        <f>$K$11</f>
        <v>0.2437</v>
      </c>
      <c r="L61" s="165">
        <f t="shared" si="45"/>
        <v>0.4387</v>
      </c>
      <c r="M61" s="30">
        <v>0.7293</v>
      </c>
      <c r="N61" s="30">
        <f t="shared" si="50"/>
        <v>0.3861</v>
      </c>
      <c r="O61" s="30">
        <f>STORE_COST</f>
        <v>0</v>
      </c>
      <c r="P61" s="115">
        <f aca="true" t="shared" si="53" ref="P61:P67">O61+N61</f>
        <v>0.3861</v>
      </c>
      <c r="Q61" s="30">
        <f t="shared" si="51"/>
        <v>0.0107</v>
      </c>
      <c r="R61" s="168">
        <f t="shared" si="52"/>
        <v>0.44</v>
      </c>
      <c r="S61" s="170"/>
      <c r="T61" s="172">
        <v>0.76</v>
      </c>
      <c r="U61" s="122">
        <f t="shared" si="46"/>
        <v>-0.32</v>
      </c>
    </row>
    <row r="62" spans="1:21" ht="14.25" thickBot="1" thickTop="1">
      <c r="A62" s="21" t="s">
        <v>15</v>
      </c>
      <c r="B62" s="27">
        <f>'CNTNR COST'!G60</f>
        <v>0.1412</v>
      </c>
      <c r="C62" s="26">
        <v>0</v>
      </c>
      <c r="D62" s="26">
        <f>+$D$12</f>
        <v>0.0755</v>
      </c>
      <c r="E62" s="31">
        <f>ROUND($E$11/2,4)</f>
        <v>0</v>
      </c>
      <c r="F62" s="31">
        <f>ROUND($F$11/2,4)</f>
        <v>-0.0007</v>
      </c>
      <c r="G62" s="26">
        <f t="shared" si="47"/>
        <v>0.216</v>
      </c>
      <c r="H62" s="26">
        <f t="shared" si="48"/>
        <v>0.00783419689119172</v>
      </c>
      <c r="I62" s="26">
        <f t="shared" si="49"/>
        <v>0.2238</v>
      </c>
      <c r="J62" s="26">
        <f>ROUND(J$11/2,4)</f>
        <v>-0.0653</v>
      </c>
      <c r="K62" s="26">
        <f>ROUND(K$11/2,4)</f>
        <v>0.1219</v>
      </c>
      <c r="L62" s="165">
        <f t="shared" si="45"/>
        <v>0.2804</v>
      </c>
      <c r="M62" s="30">
        <v>0.3965</v>
      </c>
      <c r="N62" s="30">
        <f t="shared" si="50"/>
        <v>0.2468</v>
      </c>
      <c r="O62" s="30">
        <f>ROUND(STORE_COST/2,4)</f>
        <v>0</v>
      </c>
      <c r="P62" s="115">
        <f t="shared" si="53"/>
        <v>0.2468</v>
      </c>
      <c r="Q62" s="30">
        <f t="shared" si="51"/>
        <v>0.0068</v>
      </c>
      <c r="R62" s="168">
        <f t="shared" si="52"/>
        <v>0.29</v>
      </c>
      <c r="S62" s="170"/>
      <c r="T62" s="172">
        <v>0.41</v>
      </c>
      <c r="U62" s="122">
        <f t="shared" si="46"/>
        <v>-0.12</v>
      </c>
    </row>
    <row r="63" spans="1:21" ht="14.25" thickBot="1" thickTop="1">
      <c r="A63" s="21" t="s">
        <v>162</v>
      </c>
      <c r="B63" s="27">
        <f>'CNTNR COST'!G61</f>
        <v>0.1522</v>
      </c>
      <c r="C63" s="26"/>
      <c r="D63" s="30">
        <f>+$D$13</f>
        <v>0.0124</v>
      </c>
      <c r="E63" s="31">
        <f>ROUND($E$11/32*12,4)</f>
        <v>0</v>
      </c>
      <c r="F63" s="31">
        <f>ROUND($F$11/32*12,4)</f>
        <v>-0.0005</v>
      </c>
      <c r="G63" s="26">
        <f t="shared" si="47"/>
        <v>0.1641</v>
      </c>
      <c r="H63" s="26">
        <f t="shared" si="48"/>
        <v>0.005951813471502587</v>
      </c>
      <c r="I63" s="26">
        <f t="shared" si="49"/>
        <v>0.1701</v>
      </c>
      <c r="J63" s="26">
        <f>ROUND(J61/32*12,4)</f>
        <v>-0.0489</v>
      </c>
      <c r="K63" s="26">
        <f>ROUND(K61/32*12,4)</f>
        <v>0.0914</v>
      </c>
      <c r="L63" s="165">
        <f t="shared" si="45"/>
        <v>0.2126</v>
      </c>
      <c r="M63" s="30"/>
      <c r="N63" s="30">
        <f t="shared" si="50"/>
        <v>0.1871</v>
      </c>
      <c r="O63" s="30">
        <f>ROUND(STORE_COST/32*12,4)</f>
        <v>0</v>
      </c>
      <c r="P63" s="115">
        <f t="shared" si="53"/>
        <v>0.1871</v>
      </c>
      <c r="Q63" s="30">
        <f t="shared" si="51"/>
        <v>0.0052</v>
      </c>
      <c r="R63" s="168">
        <f t="shared" si="52"/>
        <v>0.22</v>
      </c>
      <c r="S63" s="170"/>
      <c r="T63" s="172"/>
      <c r="U63" s="122"/>
    </row>
    <row r="64" spans="1:21" ht="14.25" thickBot="1" thickTop="1">
      <c r="A64" s="21" t="s">
        <v>64</v>
      </c>
      <c r="B64" s="27">
        <f>'CNTNR COST'!G62</f>
        <v>0.1427</v>
      </c>
      <c r="C64" s="26">
        <v>0</v>
      </c>
      <c r="D64" s="26">
        <f>+$D$14</f>
        <v>0.0103</v>
      </c>
      <c r="E64" s="31">
        <f>ROUND($E$11/32*10,4)</f>
        <v>0</v>
      </c>
      <c r="F64" s="31">
        <f>ROUND($F$11/32*10,4)</f>
        <v>-0.0004</v>
      </c>
      <c r="G64" s="26">
        <f t="shared" si="47"/>
        <v>0.1526</v>
      </c>
      <c r="H64" s="26">
        <f t="shared" si="48"/>
        <v>0.005534715025906745</v>
      </c>
      <c r="I64" s="26">
        <f t="shared" si="49"/>
        <v>0.1581</v>
      </c>
      <c r="J64" s="26">
        <f>ROUND(J$11/3,4)</f>
        <v>-0.0435</v>
      </c>
      <c r="K64" s="26">
        <f>ROUND(K$11/3,4)</f>
        <v>0.0812</v>
      </c>
      <c r="L64" s="165">
        <f t="shared" si="45"/>
        <v>0.1958</v>
      </c>
      <c r="M64" s="30">
        <v>0.2755</v>
      </c>
      <c r="N64" s="30">
        <f t="shared" si="50"/>
        <v>0.1723</v>
      </c>
      <c r="O64" s="30">
        <f>ROUND(STORE_COST/32*10,4)</f>
        <v>0</v>
      </c>
      <c r="P64" s="115">
        <f t="shared" si="53"/>
        <v>0.1723</v>
      </c>
      <c r="Q64" s="30">
        <f t="shared" si="51"/>
        <v>0.0048</v>
      </c>
      <c r="R64" s="168">
        <f t="shared" si="52"/>
        <v>0.2</v>
      </c>
      <c r="S64" s="170"/>
      <c r="T64" s="172">
        <v>0.28</v>
      </c>
      <c r="U64" s="122">
        <f t="shared" si="46"/>
        <v>-0.08000000000000002</v>
      </c>
    </row>
    <row r="65" spans="1:21" ht="14.25" thickBot="1" thickTop="1">
      <c r="A65" s="21" t="s">
        <v>65</v>
      </c>
      <c r="B65" s="27">
        <f>'CNTNR COST'!G63</f>
        <v>0.0706</v>
      </c>
      <c r="C65" s="26">
        <v>0</v>
      </c>
      <c r="D65" s="26">
        <f>+$D$15</f>
        <v>0.0367</v>
      </c>
      <c r="E65" s="31">
        <f>ROUND($E$11/4,4)</f>
        <v>0</v>
      </c>
      <c r="F65" s="31">
        <f>ROUND($F$11/4,4)</f>
        <v>-0.0003</v>
      </c>
      <c r="G65" s="26">
        <f t="shared" si="47"/>
        <v>0.107</v>
      </c>
      <c r="H65" s="26">
        <f t="shared" si="48"/>
        <v>0.0038808290155440406</v>
      </c>
      <c r="I65" s="26">
        <f t="shared" si="49"/>
        <v>0.1109</v>
      </c>
      <c r="J65" s="26">
        <f>ROUND(J$11/4,4)</f>
        <v>-0.0326</v>
      </c>
      <c r="K65" s="26">
        <f>ROUND(K$11/4,4)</f>
        <v>0.0609</v>
      </c>
      <c r="L65" s="165">
        <f t="shared" si="45"/>
        <v>0.1392</v>
      </c>
      <c r="M65" s="30">
        <v>0.2084</v>
      </c>
      <c r="N65" s="30">
        <f t="shared" si="50"/>
        <v>0.1225</v>
      </c>
      <c r="O65" s="30">
        <f>ROUND(STORE_COST/4,4)</f>
        <v>0</v>
      </c>
      <c r="P65" s="115">
        <f t="shared" si="53"/>
        <v>0.1225</v>
      </c>
      <c r="Q65" s="30">
        <f t="shared" si="51"/>
        <v>0.0034</v>
      </c>
      <c r="R65" s="168">
        <f t="shared" si="52"/>
        <v>0.14</v>
      </c>
      <c r="S65" s="170"/>
      <c r="T65" s="172">
        <v>0.21</v>
      </c>
      <c r="U65" s="122">
        <f t="shared" si="46"/>
        <v>-0.06999999999999998</v>
      </c>
    </row>
    <row r="66" spans="1:21" ht="14.25" thickBot="1" thickTop="1">
      <c r="A66" s="21" t="s">
        <v>66</v>
      </c>
      <c r="B66" s="27">
        <f>'CNTNR COST'!G64</f>
        <v>0.0616</v>
      </c>
      <c r="C66" s="26">
        <v>0</v>
      </c>
      <c r="D66" s="26">
        <f>+$D$16</f>
        <v>0.0373</v>
      </c>
      <c r="E66" s="31">
        <f>ROUND($E$11/8,4)</f>
        <v>0</v>
      </c>
      <c r="F66" s="31">
        <f>ROUND($F$11/8,4)</f>
        <v>-0.0002</v>
      </c>
      <c r="G66" s="26">
        <f t="shared" si="47"/>
        <v>0.0987</v>
      </c>
      <c r="H66" s="26">
        <f t="shared" si="48"/>
        <v>0.0035797927461139883</v>
      </c>
      <c r="I66" s="26">
        <f t="shared" si="49"/>
        <v>0.1023</v>
      </c>
      <c r="J66" s="26">
        <f>ROUND(J$11/8,4)</f>
        <v>-0.0163</v>
      </c>
      <c r="K66" s="26">
        <f>ROUND(K$11/8,4)</f>
        <v>0.0305</v>
      </c>
      <c r="L66" s="165">
        <f t="shared" si="45"/>
        <v>0.1165</v>
      </c>
      <c r="M66" s="30">
        <v>0.1217</v>
      </c>
      <c r="N66" s="30">
        <f t="shared" si="50"/>
        <v>0.1025</v>
      </c>
      <c r="O66" s="30">
        <f>ROUND(STORE_COST/8,4)</f>
        <v>0</v>
      </c>
      <c r="P66" s="115">
        <f t="shared" si="53"/>
        <v>0.1025</v>
      </c>
      <c r="Q66" s="30">
        <f t="shared" si="51"/>
        <v>0.0028</v>
      </c>
      <c r="R66" s="168">
        <f t="shared" si="52"/>
        <v>0.12</v>
      </c>
      <c r="S66" s="170"/>
      <c r="T66" s="172">
        <v>0.13</v>
      </c>
      <c r="U66" s="122">
        <f t="shared" si="46"/>
        <v>-0.010000000000000009</v>
      </c>
    </row>
    <row r="67" spans="1:21" ht="14.25" thickBot="1" thickTop="1">
      <c r="A67" s="21" t="s">
        <v>94</v>
      </c>
      <c r="B67" s="36">
        <f>'CNTNR COST'!G65</f>
        <v>0.3588</v>
      </c>
      <c r="C67" s="37">
        <v>0</v>
      </c>
      <c r="D67" s="37">
        <f>+$D$17</f>
        <v>0.1058</v>
      </c>
      <c r="E67" s="40">
        <f>ROUND($E$11,4)</f>
        <v>0</v>
      </c>
      <c r="F67" s="40">
        <f>ROUND($F$11,4)</f>
        <v>-0.0013</v>
      </c>
      <c r="G67" s="37">
        <f t="shared" si="47"/>
        <v>0.4633</v>
      </c>
      <c r="H67" s="37">
        <f t="shared" si="48"/>
        <v>0.01680362694300519</v>
      </c>
      <c r="I67" s="37">
        <f t="shared" si="49"/>
        <v>0.4801</v>
      </c>
      <c r="J67" s="37">
        <f>J$11</f>
        <v>-0.1305</v>
      </c>
      <c r="K67" s="37">
        <f>K$11</f>
        <v>0.2437</v>
      </c>
      <c r="L67" s="166">
        <f t="shared" si="45"/>
        <v>0.5933</v>
      </c>
      <c r="M67" s="42">
        <v>0.7158</v>
      </c>
      <c r="N67" s="42">
        <f t="shared" si="50"/>
        <v>0.5221</v>
      </c>
      <c r="O67" s="42">
        <f>STORE_COST</f>
        <v>0</v>
      </c>
      <c r="P67" s="42">
        <f t="shared" si="53"/>
        <v>0.5221</v>
      </c>
      <c r="Q67" s="42">
        <f t="shared" si="51"/>
        <v>0.0145</v>
      </c>
      <c r="R67" s="169">
        <f>IF(ROUND(Q67+P67,2)&gt;L67,ROUND(Q67+P67,2),ROUND(L67+0.005,2))</f>
        <v>0.6</v>
      </c>
      <c r="S67" s="170"/>
      <c r="T67" s="173">
        <v>0.74</v>
      </c>
      <c r="U67" s="123">
        <f t="shared" si="46"/>
        <v>-0.14</v>
      </c>
    </row>
    <row r="68" spans="1:21" ht="14.25" thickBot="1" thickTop="1">
      <c r="A68" s="21" t="s">
        <v>50</v>
      </c>
      <c r="L68" s="43"/>
      <c r="M68" s="43"/>
      <c r="N68" s="43"/>
      <c r="O68" s="43"/>
      <c r="P68" s="43"/>
      <c r="Q68" s="43"/>
      <c r="R68" s="170"/>
      <c r="S68" s="170"/>
      <c r="T68" s="170"/>
      <c r="U68" s="241"/>
    </row>
    <row r="69" spans="1:21" ht="14.25" thickBot="1" thickTop="1">
      <c r="A69" s="21" t="s">
        <v>12</v>
      </c>
      <c r="B69" s="35">
        <f>'CNTNR COST'!G67</f>
        <v>1.1296</v>
      </c>
      <c r="C69" s="25">
        <v>0</v>
      </c>
      <c r="D69" s="25">
        <f>+$D$9</f>
        <v>-0.1067</v>
      </c>
      <c r="E69" s="39">
        <f>ROUND($E$11*4,4)</f>
        <v>0</v>
      </c>
      <c r="F69" s="39">
        <f>ROUND($F$11*4,4)</f>
        <v>-0.0052</v>
      </c>
      <c r="G69" s="25">
        <f>ROUND(SUM(B69:F69),4)</f>
        <v>1.0177</v>
      </c>
      <c r="H69" s="25">
        <f>(G69/(1-$H$5))-G69</f>
        <v>0.036911398963730635</v>
      </c>
      <c r="I69" s="25">
        <f>ROUND(G69+H69,4)</f>
        <v>1.0546</v>
      </c>
      <c r="J69" s="25">
        <f>ROUND(J$11*4,4)</f>
        <v>-0.522</v>
      </c>
      <c r="K69" s="25">
        <f>ROUND(K$11*4,4)</f>
        <v>0.9748</v>
      </c>
      <c r="L69" s="164">
        <f aca="true" t="shared" si="54" ref="L69:L77">ROUND(SUM(I69:K69),4)</f>
        <v>1.5074</v>
      </c>
      <c r="M69" s="41">
        <v>2.6418</v>
      </c>
      <c r="N69" s="41">
        <f>ROUND(L69-(L69*WHSLE_DISCNT),4)</f>
        <v>1.3265</v>
      </c>
      <c r="O69" s="41">
        <f>ROUND(4*STORE_COST,4)</f>
        <v>0</v>
      </c>
      <c r="P69" s="114">
        <f>N69+O69</f>
        <v>1.3265</v>
      </c>
      <c r="Q69" s="41">
        <f>ROUND(P69/(1-RETAIL_PRFT)-P69,4)</f>
        <v>0.0368</v>
      </c>
      <c r="R69" s="167">
        <f>IF(ROUND(Q69+P69,2)&gt;L69,ROUND(Q69+P69,2),ROUND(L69+0.005,2))</f>
        <v>1.51</v>
      </c>
      <c r="S69" s="170"/>
      <c r="T69" s="171">
        <v>2.78</v>
      </c>
      <c r="U69" s="241"/>
    </row>
    <row r="70" spans="1:21" ht="14.25" thickBot="1" thickTop="1">
      <c r="A70" s="21" t="s">
        <v>63</v>
      </c>
      <c r="B70" s="27">
        <f>'CNTNR COST'!G68</f>
        <v>0.5648</v>
      </c>
      <c r="C70" s="26">
        <v>0</v>
      </c>
      <c r="D70" s="26">
        <f>+$D$10</f>
        <v>-0.0419</v>
      </c>
      <c r="E70" s="31">
        <f>ROUND($E$11*2,4)</f>
        <v>0</v>
      </c>
      <c r="F70" s="31">
        <f>ROUND($F$11*2,4)</f>
        <v>-0.0026</v>
      </c>
      <c r="G70" s="26">
        <f aca="true" t="shared" si="55" ref="G70:G77">ROUND(SUM(B70:F70),4)</f>
        <v>0.5203</v>
      </c>
      <c r="H70" s="26">
        <f aca="true" t="shared" si="56" ref="H70:H77">(G70/(1-$H$5))-G70</f>
        <v>0.018870984455958584</v>
      </c>
      <c r="I70" s="26">
        <f aca="true" t="shared" si="57" ref="I70:I77">ROUND(G70+H70,4)</f>
        <v>0.5392</v>
      </c>
      <c r="J70" s="26">
        <f>ROUND(J$11*2,4)</f>
        <v>-0.261</v>
      </c>
      <c r="K70" s="26">
        <f>ROUND(K$11*2,4)</f>
        <v>0.4874</v>
      </c>
      <c r="L70" s="165">
        <f t="shared" si="54"/>
        <v>0.7656</v>
      </c>
      <c r="M70" s="30">
        <v>1.3662</v>
      </c>
      <c r="N70" s="30">
        <f aca="true" t="shared" si="58" ref="N70:N77">ROUND(L70-(L70*WHSLE_DISCNT),4)</f>
        <v>0.6737</v>
      </c>
      <c r="O70" s="30">
        <f>ROUND(2*STORE_COST,4)</f>
        <v>0</v>
      </c>
      <c r="P70" s="115">
        <f>O70+N70</f>
        <v>0.6737</v>
      </c>
      <c r="Q70" s="30">
        <f aca="true" t="shared" si="59" ref="Q70:Q77">ROUND(P70/(1-RETAIL_PRFT)-P70,4)</f>
        <v>0.0187</v>
      </c>
      <c r="R70" s="168">
        <f aca="true" t="shared" si="60" ref="R70:R76">IF(ROUND(Q70+P70,2)&gt;L70,ROUND(Q70+P70,2),ROUND(L70+0.005,2))</f>
        <v>0.77</v>
      </c>
      <c r="S70" s="170"/>
      <c r="T70" s="172">
        <v>1.43</v>
      </c>
      <c r="U70" s="241"/>
    </row>
    <row r="71" spans="1:21" ht="14.25" thickBot="1" thickTop="1">
      <c r="A71" s="21" t="s">
        <v>14</v>
      </c>
      <c r="B71" s="27">
        <f>'CNTNR COST'!G69</f>
        <v>0.2824</v>
      </c>
      <c r="C71" s="26">
        <v>0</v>
      </c>
      <c r="D71" s="26">
        <f>+$D$11</f>
        <v>0.033</v>
      </c>
      <c r="E71" s="31">
        <f>ENERGY_ADDON</f>
        <v>0</v>
      </c>
      <c r="F71" s="31">
        <f>ROUND(COST_UPDATE_ADJ,4)</f>
        <v>-0.0013</v>
      </c>
      <c r="G71" s="26">
        <f t="shared" si="55"/>
        <v>0.3141</v>
      </c>
      <c r="H71" s="26">
        <f t="shared" si="56"/>
        <v>0.011392227979274638</v>
      </c>
      <c r="I71" s="26">
        <f t="shared" si="57"/>
        <v>0.3255</v>
      </c>
      <c r="J71" s="26">
        <f>$J$11</f>
        <v>-0.1305</v>
      </c>
      <c r="K71" s="26">
        <f>$K$11</f>
        <v>0.2437</v>
      </c>
      <c r="L71" s="165">
        <f t="shared" si="54"/>
        <v>0.4387</v>
      </c>
      <c r="M71" s="30">
        <v>0.7293</v>
      </c>
      <c r="N71" s="30">
        <f t="shared" si="58"/>
        <v>0.3861</v>
      </c>
      <c r="O71" s="30">
        <f>STORE_COST</f>
        <v>0</v>
      </c>
      <c r="P71" s="115">
        <f aca="true" t="shared" si="61" ref="P71:P77">O71+N71</f>
        <v>0.3861</v>
      </c>
      <c r="Q71" s="30">
        <f t="shared" si="59"/>
        <v>0.0107</v>
      </c>
      <c r="R71" s="168">
        <f t="shared" si="60"/>
        <v>0.44</v>
      </c>
      <c r="S71" s="170"/>
      <c r="T71" s="172">
        <v>0.76</v>
      </c>
      <c r="U71" s="241"/>
    </row>
    <row r="72" spans="1:21" ht="14.25" thickBot="1" thickTop="1">
      <c r="A72" s="21" t="s">
        <v>15</v>
      </c>
      <c r="B72" s="27">
        <f>'CNTNR COST'!G70</f>
        <v>0.1412</v>
      </c>
      <c r="C72" s="26">
        <v>0</v>
      </c>
      <c r="D72" s="26">
        <f>+$D$12</f>
        <v>0.0755</v>
      </c>
      <c r="E72" s="31">
        <f>ROUND($E$11/2,4)</f>
        <v>0</v>
      </c>
      <c r="F72" s="31">
        <f>ROUND($F$11/2,4)</f>
        <v>-0.0007</v>
      </c>
      <c r="G72" s="26">
        <f t="shared" si="55"/>
        <v>0.216</v>
      </c>
      <c r="H72" s="26">
        <f t="shared" si="56"/>
        <v>0.00783419689119172</v>
      </c>
      <c r="I72" s="26">
        <f t="shared" si="57"/>
        <v>0.2238</v>
      </c>
      <c r="J72" s="26">
        <f>ROUND(J$11/2,4)</f>
        <v>-0.0653</v>
      </c>
      <c r="K72" s="26">
        <f>ROUND(K$11/2,4)</f>
        <v>0.1219</v>
      </c>
      <c r="L72" s="165">
        <f t="shared" si="54"/>
        <v>0.2804</v>
      </c>
      <c r="M72" s="30">
        <v>0.3965</v>
      </c>
      <c r="N72" s="30">
        <f t="shared" si="58"/>
        <v>0.2468</v>
      </c>
      <c r="O72" s="30">
        <f>ROUND(STORE_COST/2,4)</f>
        <v>0</v>
      </c>
      <c r="P72" s="115">
        <f t="shared" si="61"/>
        <v>0.2468</v>
      </c>
      <c r="Q72" s="30">
        <f t="shared" si="59"/>
        <v>0.0068</v>
      </c>
      <c r="R72" s="168">
        <f t="shared" si="60"/>
        <v>0.29</v>
      </c>
      <c r="S72" s="170"/>
      <c r="T72" s="172">
        <v>0.41</v>
      </c>
      <c r="U72" s="241"/>
    </row>
    <row r="73" spans="1:21" ht="14.25" thickBot="1" thickTop="1">
      <c r="A73" s="21" t="s">
        <v>162</v>
      </c>
      <c r="B73" s="27">
        <f>'CNTNR COST'!G71</f>
        <v>0.1522</v>
      </c>
      <c r="C73" s="26"/>
      <c r="D73" s="30">
        <f>+$D$13</f>
        <v>0.0124</v>
      </c>
      <c r="E73" s="31">
        <f>ROUND($E$11/32*12,4)</f>
        <v>0</v>
      </c>
      <c r="F73" s="31">
        <f>ROUND($F$11/32*12,4)</f>
        <v>-0.0005</v>
      </c>
      <c r="G73" s="26">
        <f t="shared" si="55"/>
        <v>0.1641</v>
      </c>
      <c r="H73" s="26">
        <f t="shared" si="56"/>
        <v>0.005951813471502587</v>
      </c>
      <c r="I73" s="26">
        <f t="shared" si="57"/>
        <v>0.1701</v>
      </c>
      <c r="J73" s="26">
        <f>ROUND(J71/32*12,4)</f>
        <v>-0.0489</v>
      </c>
      <c r="K73" s="26">
        <f>ROUND(K71/32*12,4)</f>
        <v>0.0914</v>
      </c>
      <c r="L73" s="165">
        <f t="shared" si="54"/>
        <v>0.2126</v>
      </c>
      <c r="M73" s="30"/>
      <c r="N73" s="30">
        <f t="shared" si="58"/>
        <v>0.1871</v>
      </c>
      <c r="O73" s="30">
        <f>ROUND(STORE_COST/32*12,4)</f>
        <v>0</v>
      </c>
      <c r="P73" s="115">
        <f t="shared" si="61"/>
        <v>0.1871</v>
      </c>
      <c r="Q73" s="30">
        <f t="shared" si="59"/>
        <v>0.0052</v>
      </c>
      <c r="R73" s="168">
        <f t="shared" si="60"/>
        <v>0.22</v>
      </c>
      <c r="S73" s="170"/>
      <c r="T73" s="172"/>
      <c r="U73" s="241"/>
    </row>
    <row r="74" spans="1:21" ht="14.25" thickBot="1" thickTop="1">
      <c r="A74" s="21" t="s">
        <v>64</v>
      </c>
      <c r="B74" s="27">
        <f>'CNTNR COST'!G72</f>
        <v>0.1427</v>
      </c>
      <c r="C74" s="26">
        <v>0</v>
      </c>
      <c r="D74" s="26">
        <f>+$D$14</f>
        <v>0.0103</v>
      </c>
      <c r="E74" s="31">
        <f>ROUND($E$11/32*10,4)</f>
        <v>0</v>
      </c>
      <c r="F74" s="31">
        <f>ROUND($F$11/32*10,4)</f>
        <v>-0.0004</v>
      </c>
      <c r="G74" s="26">
        <f t="shared" si="55"/>
        <v>0.1526</v>
      </c>
      <c r="H74" s="26">
        <f t="shared" si="56"/>
        <v>0.005534715025906745</v>
      </c>
      <c r="I74" s="26">
        <f t="shared" si="57"/>
        <v>0.1581</v>
      </c>
      <c r="J74" s="26">
        <f>ROUND(J$11/3,4)</f>
        <v>-0.0435</v>
      </c>
      <c r="K74" s="26">
        <f>ROUND(K$11/3,4)</f>
        <v>0.0812</v>
      </c>
      <c r="L74" s="165">
        <f t="shared" si="54"/>
        <v>0.1958</v>
      </c>
      <c r="M74" s="30">
        <v>0.2755</v>
      </c>
      <c r="N74" s="30">
        <f t="shared" si="58"/>
        <v>0.1723</v>
      </c>
      <c r="O74" s="30">
        <f>ROUND(STORE_COST/32*10,4)</f>
        <v>0</v>
      </c>
      <c r="P74" s="115">
        <f t="shared" si="61"/>
        <v>0.1723</v>
      </c>
      <c r="Q74" s="30">
        <f t="shared" si="59"/>
        <v>0.0048</v>
      </c>
      <c r="R74" s="168">
        <f t="shared" si="60"/>
        <v>0.2</v>
      </c>
      <c r="S74" s="170"/>
      <c r="T74" s="172">
        <v>0.28</v>
      </c>
      <c r="U74" s="241"/>
    </row>
    <row r="75" spans="1:21" ht="14.25" thickBot="1" thickTop="1">
      <c r="A75" s="21" t="s">
        <v>65</v>
      </c>
      <c r="B75" s="27">
        <f>'CNTNR COST'!G73</f>
        <v>0.0706</v>
      </c>
      <c r="C75" s="26">
        <v>0</v>
      </c>
      <c r="D75" s="26">
        <f>+$D$15</f>
        <v>0.0367</v>
      </c>
      <c r="E75" s="31">
        <f>ROUND($E$11/4,4)</f>
        <v>0</v>
      </c>
      <c r="F75" s="31">
        <f>ROUND($F$11/4,4)</f>
        <v>-0.0003</v>
      </c>
      <c r="G75" s="26">
        <f t="shared" si="55"/>
        <v>0.107</v>
      </c>
      <c r="H75" s="26">
        <f t="shared" si="56"/>
        <v>0.0038808290155440406</v>
      </c>
      <c r="I75" s="26">
        <f t="shared" si="57"/>
        <v>0.1109</v>
      </c>
      <c r="J75" s="26">
        <f>ROUND(J$11/4,4)</f>
        <v>-0.0326</v>
      </c>
      <c r="K75" s="26">
        <f>ROUND(K$11/4,4)</f>
        <v>0.0609</v>
      </c>
      <c r="L75" s="165">
        <f t="shared" si="54"/>
        <v>0.1392</v>
      </c>
      <c r="M75" s="30">
        <v>0.2084</v>
      </c>
      <c r="N75" s="30">
        <f t="shared" si="58"/>
        <v>0.1225</v>
      </c>
      <c r="O75" s="30">
        <f>ROUND(STORE_COST/4,4)</f>
        <v>0</v>
      </c>
      <c r="P75" s="115">
        <f t="shared" si="61"/>
        <v>0.1225</v>
      </c>
      <c r="Q75" s="30">
        <f t="shared" si="59"/>
        <v>0.0034</v>
      </c>
      <c r="R75" s="168">
        <f t="shared" si="60"/>
        <v>0.14</v>
      </c>
      <c r="S75" s="170"/>
      <c r="T75" s="172">
        <v>0.21</v>
      </c>
      <c r="U75" s="241"/>
    </row>
    <row r="76" spans="1:21" ht="14.25" thickBot="1" thickTop="1">
      <c r="A76" s="21" t="s">
        <v>66</v>
      </c>
      <c r="B76" s="27">
        <f>'CNTNR COST'!G74</f>
        <v>0.0616</v>
      </c>
      <c r="C76" s="26">
        <v>0</v>
      </c>
      <c r="D76" s="26">
        <f>+$D$16</f>
        <v>0.0373</v>
      </c>
      <c r="E76" s="31">
        <f>ROUND($E$11/8,4)</f>
        <v>0</v>
      </c>
      <c r="F76" s="31">
        <f>ROUND($F$11/8,4)</f>
        <v>-0.0002</v>
      </c>
      <c r="G76" s="26">
        <f t="shared" si="55"/>
        <v>0.0987</v>
      </c>
      <c r="H76" s="26">
        <f t="shared" si="56"/>
        <v>0.0035797927461139883</v>
      </c>
      <c r="I76" s="26">
        <f t="shared" si="57"/>
        <v>0.1023</v>
      </c>
      <c r="J76" s="26">
        <f>ROUND(J$11/8,4)</f>
        <v>-0.0163</v>
      </c>
      <c r="K76" s="26">
        <f>ROUND(K$11/8,4)</f>
        <v>0.0305</v>
      </c>
      <c r="L76" s="165">
        <f t="shared" si="54"/>
        <v>0.1165</v>
      </c>
      <c r="M76" s="30">
        <v>0.1217</v>
      </c>
      <c r="N76" s="30">
        <f t="shared" si="58"/>
        <v>0.1025</v>
      </c>
      <c r="O76" s="30">
        <f>ROUND(STORE_COST/8,4)</f>
        <v>0</v>
      </c>
      <c r="P76" s="115">
        <f t="shared" si="61"/>
        <v>0.1025</v>
      </c>
      <c r="Q76" s="30">
        <f t="shared" si="59"/>
        <v>0.0028</v>
      </c>
      <c r="R76" s="168">
        <f t="shared" si="60"/>
        <v>0.12</v>
      </c>
      <c r="S76" s="170"/>
      <c r="T76" s="172">
        <v>0.13</v>
      </c>
      <c r="U76" s="241"/>
    </row>
    <row r="77" spans="1:21" ht="14.25" thickBot="1" thickTop="1">
      <c r="A77" s="21" t="s">
        <v>94</v>
      </c>
      <c r="B77" s="36">
        <f>'CNTNR COST'!G75</f>
        <v>0.3588</v>
      </c>
      <c r="C77" s="37">
        <v>0</v>
      </c>
      <c r="D77" s="37">
        <f>+$D$17</f>
        <v>0.1058</v>
      </c>
      <c r="E77" s="40">
        <f>ROUND($E$11,4)</f>
        <v>0</v>
      </c>
      <c r="F77" s="40">
        <f>ROUND($F$11,4)</f>
        <v>-0.0013</v>
      </c>
      <c r="G77" s="37">
        <f t="shared" si="55"/>
        <v>0.4633</v>
      </c>
      <c r="H77" s="37">
        <f t="shared" si="56"/>
        <v>0.01680362694300519</v>
      </c>
      <c r="I77" s="37">
        <f t="shared" si="57"/>
        <v>0.4801</v>
      </c>
      <c r="J77" s="37">
        <f>J$11</f>
        <v>-0.1305</v>
      </c>
      <c r="K77" s="37">
        <f>K$11</f>
        <v>0.2437</v>
      </c>
      <c r="L77" s="166">
        <f t="shared" si="54"/>
        <v>0.5933</v>
      </c>
      <c r="M77" s="42">
        <v>0.7158</v>
      </c>
      <c r="N77" s="42">
        <f t="shared" si="58"/>
        <v>0.5221</v>
      </c>
      <c r="O77" s="42">
        <f>STORE_COST</f>
        <v>0</v>
      </c>
      <c r="P77" s="42">
        <f t="shared" si="61"/>
        <v>0.5221</v>
      </c>
      <c r="Q77" s="42">
        <f t="shared" si="59"/>
        <v>0.0145</v>
      </c>
      <c r="R77" s="169">
        <f>IF(ROUND(Q77+P77,2)&gt;L77,ROUND(Q77+P77,2),ROUND(L77+0.005,2))</f>
        <v>0.6</v>
      </c>
      <c r="S77" s="170"/>
      <c r="T77" s="173">
        <v>0.74</v>
      </c>
      <c r="U77" s="241"/>
    </row>
    <row r="78" spans="1:20" ht="14.25" thickBot="1" thickTop="1">
      <c r="A78" s="38" t="s">
        <v>27</v>
      </c>
      <c r="L78" s="43"/>
      <c r="M78" s="43"/>
      <c r="N78" s="43"/>
      <c r="O78" s="43"/>
      <c r="P78" s="43"/>
      <c r="Q78" s="43"/>
      <c r="R78" s="170"/>
      <c r="S78" s="170"/>
      <c r="T78" s="170"/>
    </row>
    <row r="79" spans="1:21" ht="14.25" thickBot="1" thickTop="1">
      <c r="A79" s="21" t="s">
        <v>12</v>
      </c>
      <c r="B79" s="35">
        <f>'CNTNR COST'!G77</f>
        <v>1.3498</v>
      </c>
      <c r="C79" s="25">
        <v>0</v>
      </c>
      <c r="D79" s="25">
        <f>+$D$9</f>
        <v>-0.1067</v>
      </c>
      <c r="E79" s="39">
        <f>ROUND($E$11*4,4)</f>
        <v>0</v>
      </c>
      <c r="F79" s="39">
        <f>ROUND($F$11*4,4)</f>
        <v>-0.0052</v>
      </c>
      <c r="G79" s="25">
        <f aca="true" t="shared" si="62" ref="G79:G87">ROUND(SUM(B79:F79),4)</f>
        <v>1.2379</v>
      </c>
      <c r="H79" s="25">
        <f>(G79/(1-$H$5))-G79</f>
        <v>0.04489792746113985</v>
      </c>
      <c r="I79" s="25">
        <f aca="true" t="shared" si="63" ref="I79:I87">ROUND(G79+H79,4)</f>
        <v>1.2828</v>
      </c>
      <c r="J79" s="25">
        <f>ROUND(J$11*4,4)</f>
        <v>-0.522</v>
      </c>
      <c r="K79" s="25">
        <f>ROUND(K$11*4,4)</f>
        <v>0.9748</v>
      </c>
      <c r="L79" s="164">
        <f aca="true" t="shared" si="64" ref="L79:L87">ROUND(SUM(I79:K79),4)</f>
        <v>1.7356</v>
      </c>
      <c r="M79" s="41">
        <v>2.7515</v>
      </c>
      <c r="N79" s="41">
        <f>ROUND(L79-(L79*WHSLE_DISCNT),4)</f>
        <v>1.5273</v>
      </c>
      <c r="O79" s="41">
        <f>ROUND(4*STORE_COST,4)</f>
        <v>0</v>
      </c>
      <c r="P79" s="114">
        <f>N79+O79</f>
        <v>1.5273</v>
      </c>
      <c r="Q79" s="41">
        <f>ROUND(P79/(1-RETAIL_PRFT)-P79,4)</f>
        <v>0.0424</v>
      </c>
      <c r="R79" s="167">
        <f>IF(ROUND(Q79+P79,2)&gt;L79,ROUND(Q79+P79,2),ROUND(L79+0.005,2))</f>
        <v>1.74</v>
      </c>
      <c r="S79" s="170"/>
      <c r="T79" s="171">
        <v>2.88</v>
      </c>
      <c r="U79" s="121">
        <f aca="true" t="shared" si="65" ref="U79:U87">R79-T79</f>
        <v>-1.14</v>
      </c>
    </row>
    <row r="80" spans="1:21" ht="14.25" thickBot="1" thickTop="1">
      <c r="A80" s="21" t="s">
        <v>63</v>
      </c>
      <c r="B80" s="27">
        <f>'CNTNR COST'!G78</f>
        <v>0.6749</v>
      </c>
      <c r="C80" s="26">
        <v>0</v>
      </c>
      <c r="D80" s="26">
        <f>+$D$10</f>
        <v>-0.0419</v>
      </c>
      <c r="E80" s="31">
        <f>ROUND($E$11*2,4)</f>
        <v>0</v>
      </c>
      <c r="F80" s="31">
        <f>ROUND($F$11*2,4)</f>
        <v>-0.0026</v>
      </c>
      <c r="G80" s="26">
        <f t="shared" si="62"/>
        <v>0.6304</v>
      </c>
      <c r="H80" s="26">
        <f aca="true" t="shared" si="66" ref="H80:H145">(G80/(1-$H$5))-G80</f>
        <v>0.022864248704663193</v>
      </c>
      <c r="I80" s="26">
        <f t="shared" si="63"/>
        <v>0.6533</v>
      </c>
      <c r="J80" s="26">
        <f>ROUND(J$11*2,4)</f>
        <v>-0.261</v>
      </c>
      <c r="K80" s="26">
        <f>ROUND(K$11*2,4)</f>
        <v>0.4874</v>
      </c>
      <c r="L80" s="165">
        <f t="shared" si="64"/>
        <v>0.8797</v>
      </c>
      <c r="M80" s="30">
        <v>1.421</v>
      </c>
      <c r="N80" s="30">
        <f aca="true" t="shared" si="67" ref="N80:N145">ROUND(L80-(L80*WHSLE_DISCNT),4)</f>
        <v>0.7741</v>
      </c>
      <c r="O80" s="30">
        <f>ROUND(2*STORE_COST,4)</f>
        <v>0</v>
      </c>
      <c r="P80" s="115">
        <f>O80+N80</f>
        <v>0.7741</v>
      </c>
      <c r="Q80" s="30">
        <f aca="true" t="shared" si="68" ref="Q80:Q87">ROUND(P80/(1-RETAIL_PRFT)-P80,4)</f>
        <v>0.0215</v>
      </c>
      <c r="R80" s="168">
        <f aca="true" t="shared" si="69" ref="R80:R86">IF(ROUND(Q80+P80,2)&gt;L80,ROUND(Q80+P80,2),ROUND(L80+0.005,2))</f>
        <v>0.88</v>
      </c>
      <c r="S80" s="170"/>
      <c r="T80" s="172">
        <v>1.48</v>
      </c>
      <c r="U80" s="122">
        <f t="shared" si="65"/>
        <v>-0.6</v>
      </c>
    </row>
    <row r="81" spans="1:21" ht="14.25" thickBot="1" thickTop="1">
      <c r="A81" s="21" t="s">
        <v>14</v>
      </c>
      <c r="B81" s="27">
        <f>'CNTNR COST'!G79</f>
        <v>0.3374</v>
      </c>
      <c r="C81" s="26">
        <v>0</v>
      </c>
      <c r="D81" s="26">
        <f>+$D$11</f>
        <v>0.033</v>
      </c>
      <c r="E81" s="31">
        <f>ENERGY_ADDON</f>
        <v>0</v>
      </c>
      <c r="F81" s="31">
        <f>ROUND(COST_UPDATE_ADJ,4)</f>
        <v>-0.0013</v>
      </c>
      <c r="G81" s="26">
        <f t="shared" si="62"/>
        <v>0.3691</v>
      </c>
      <c r="H81" s="26">
        <f t="shared" si="66"/>
        <v>0.013387046632124366</v>
      </c>
      <c r="I81" s="26">
        <f t="shared" si="63"/>
        <v>0.3825</v>
      </c>
      <c r="J81" s="26">
        <f>$J$11</f>
        <v>-0.1305</v>
      </c>
      <c r="K81" s="26">
        <f>$K$11</f>
        <v>0.2437</v>
      </c>
      <c r="L81" s="165">
        <f t="shared" si="64"/>
        <v>0.4957</v>
      </c>
      <c r="M81" s="30">
        <v>0.7567</v>
      </c>
      <c r="N81" s="30">
        <f t="shared" si="67"/>
        <v>0.4362</v>
      </c>
      <c r="O81" s="30">
        <f>STORE_COST</f>
        <v>0</v>
      </c>
      <c r="P81" s="115">
        <f aca="true" t="shared" si="70" ref="P81:P87">O81+N81</f>
        <v>0.4362</v>
      </c>
      <c r="Q81" s="30">
        <f t="shared" si="68"/>
        <v>0.0121</v>
      </c>
      <c r="R81" s="168">
        <f t="shared" si="69"/>
        <v>0.5</v>
      </c>
      <c r="S81" s="170"/>
      <c r="T81" s="172">
        <v>0.78</v>
      </c>
      <c r="U81" s="122">
        <f t="shared" si="65"/>
        <v>-0.28</v>
      </c>
    </row>
    <row r="82" spans="1:21" ht="14.25" thickBot="1" thickTop="1">
      <c r="A82" s="21" t="s">
        <v>15</v>
      </c>
      <c r="B82" s="27">
        <f>'CNTNR COST'!G80</f>
        <v>0.1687</v>
      </c>
      <c r="C82" s="26">
        <v>0</v>
      </c>
      <c r="D82" s="26">
        <f>+$D$12</f>
        <v>0.0755</v>
      </c>
      <c r="E82" s="31">
        <f>ROUND($E$11/2,4)</f>
        <v>0</v>
      </c>
      <c r="F82" s="31">
        <f>ROUND($F$11/2,4)</f>
        <v>-0.0007</v>
      </c>
      <c r="G82" s="26">
        <f t="shared" si="62"/>
        <v>0.2435</v>
      </c>
      <c r="H82" s="26">
        <f t="shared" si="66"/>
        <v>0.008831606217616583</v>
      </c>
      <c r="I82" s="26">
        <f t="shared" si="63"/>
        <v>0.2523</v>
      </c>
      <c r="J82" s="26">
        <f>ROUND(J$11/2,4)</f>
        <v>-0.0653</v>
      </c>
      <c r="K82" s="26">
        <f>ROUND(K$11/2,4)</f>
        <v>0.1219</v>
      </c>
      <c r="L82" s="165">
        <f t="shared" si="64"/>
        <v>0.3089</v>
      </c>
      <c r="M82" s="30">
        <v>0.4103</v>
      </c>
      <c r="N82" s="30">
        <f t="shared" si="67"/>
        <v>0.2718</v>
      </c>
      <c r="O82" s="30">
        <f>ROUND(STORE_COST/2,4)</f>
        <v>0</v>
      </c>
      <c r="P82" s="115">
        <f t="shared" si="70"/>
        <v>0.2718</v>
      </c>
      <c r="Q82" s="30">
        <f t="shared" si="68"/>
        <v>0.0075</v>
      </c>
      <c r="R82" s="168">
        <f t="shared" si="69"/>
        <v>0.31</v>
      </c>
      <c r="S82" s="170"/>
      <c r="T82" s="172">
        <v>0.42</v>
      </c>
      <c r="U82" s="122">
        <f t="shared" si="65"/>
        <v>-0.10999999999999999</v>
      </c>
    </row>
    <row r="83" spans="1:21" ht="14.25" thickBot="1" thickTop="1">
      <c r="A83" s="21" t="s">
        <v>162</v>
      </c>
      <c r="B83" s="27">
        <f>'CNTNR COST'!G81</f>
        <v>0.1728</v>
      </c>
      <c r="C83" s="26"/>
      <c r="D83" s="30">
        <f>+$D$13</f>
        <v>0.0124</v>
      </c>
      <c r="E83" s="31">
        <f>ROUND($E$11/32*12,4)</f>
        <v>0</v>
      </c>
      <c r="F83" s="31">
        <f>ROUND($F$11/32*12,4)</f>
        <v>-0.0005</v>
      </c>
      <c r="G83" s="26">
        <f t="shared" si="62"/>
        <v>0.1847</v>
      </c>
      <c r="H83" s="26">
        <f t="shared" si="66"/>
        <v>0.006698963730569968</v>
      </c>
      <c r="I83" s="26">
        <f t="shared" si="63"/>
        <v>0.1914</v>
      </c>
      <c r="J83" s="26">
        <f>ROUND(J81/32*12,4)</f>
        <v>-0.0489</v>
      </c>
      <c r="K83" s="26">
        <f>ROUND(K81/32*12,4)</f>
        <v>0.0914</v>
      </c>
      <c r="L83" s="165">
        <f t="shared" si="64"/>
        <v>0.2339</v>
      </c>
      <c r="M83" s="30"/>
      <c r="N83" s="30">
        <f t="shared" si="67"/>
        <v>0.2058</v>
      </c>
      <c r="O83" s="30">
        <f>ROUND(STORE_COST/32*12,4)</f>
        <v>0</v>
      </c>
      <c r="P83" s="115">
        <f t="shared" si="70"/>
        <v>0.2058</v>
      </c>
      <c r="Q83" s="30">
        <f t="shared" si="68"/>
        <v>0.0057</v>
      </c>
      <c r="R83" s="168">
        <f t="shared" si="69"/>
        <v>0.24</v>
      </c>
      <c r="S83" s="170"/>
      <c r="T83" s="172"/>
      <c r="U83" s="122"/>
    </row>
    <row r="84" spans="1:21" ht="14.25" thickBot="1" thickTop="1">
      <c r="A84" s="21" t="s">
        <v>64</v>
      </c>
      <c r="B84" s="27">
        <f>'CNTNR COST'!G82</f>
        <v>0.1599</v>
      </c>
      <c r="C84" s="26">
        <v>0</v>
      </c>
      <c r="D84" s="26">
        <f>+$D$14</f>
        <v>0.0103</v>
      </c>
      <c r="E84" s="31">
        <f>ROUND($E$11/32*10,4)</f>
        <v>0</v>
      </c>
      <c r="F84" s="31">
        <f>ROUND($F$11/32*10,4)</f>
        <v>-0.0004</v>
      </c>
      <c r="G84" s="26">
        <f t="shared" si="62"/>
        <v>0.1698</v>
      </c>
      <c r="H84" s="26">
        <f t="shared" si="66"/>
        <v>0.006158549222797932</v>
      </c>
      <c r="I84" s="26">
        <f t="shared" si="63"/>
        <v>0.176</v>
      </c>
      <c r="J84" s="26">
        <f>ROUND(J$11/3,4)</f>
        <v>-0.0435</v>
      </c>
      <c r="K84" s="26">
        <f>ROUND(K$11/3,4)</f>
        <v>0.0812</v>
      </c>
      <c r="L84" s="165">
        <f t="shared" si="64"/>
        <v>0.2137</v>
      </c>
      <c r="M84" s="30">
        <v>0.284</v>
      </c>
      <c r="N84" s="30">
        <f t="shared" si="67"/>
        <v>0.1881</v>
      </c>
      <c r="O84" s="30">
        <f>ROUND(STORE_COST/32*10,4)</f>
        <v>0</v>
      </c>
      <c r="P84" s="115">
        <f t="shared" si="70"/>
        <v>0.1881</v>
      </c>
      <c r="Q84" s="30">
        <f t="shared" si="68"/>
        <v>0.0052</v>
      </c>
      <c r="R84" s="168">
        <f t="shared" si="69"/>
        <v>0.22</v>
      </c>
      <c r="S84" s="170"/>
      <c r="T84" s="172">
        <v>0.29</v>
      </c>
      <c r="U84" s="122">
        <f t="shared" si="65"/>
        <v>-0.06999999999999998</v>
      </c>
    </row>
    <row r="85" spans="1:21" ht="14.25" thickBot="1" thickTop="1">
      <c r="A85" s="21" t="s">
        <v>65</v>
      </c>
      <c r="B85" s="27">
        <f>'CNTNR COST'!G83</f>
        <v>0.0844</v>
      </c>
      <c r="C85" s="26">
        <v>0</v>
      </c>
      <c r="D85" s="26">
        <f>+$D$15</f>
        <v>0.0367</v>
      </c>
      <c r="E85" s="31">
        <f>ROUND($E$11/4,4)</f>
        <v>0</v>
      </c>
      <c r="F85" s="31">
        <f>ROUND($F$11/4,4)</f>
        <v>-0.0003</v>
      </c>
      <c r="G85" s="26">
        <f t="shared" si="62"/>
        <v>0.1208</v>
      </c>
      <c r="H85" s="26">
        <f t="shared" si="66"/>
        <v>0.004381347150259077</v>
      </c>
      <c r="I85" s="26">
        <f t="shared" si="63"/>
        <v>0.1252</v>
      </c>
      <c r="J85" s="26">
        <f>ROUND(J$11/4,4)</f>
        <v>-0.0326</v>
      </c>
      <c r="K85" s="26">
        <f>ROUND(K$11/4,4)</f>
        <v>0.0609</v>
      </c>
      <c r="L85" s="165">
        <f t="shared" si="64"/>
        <v>0.1535</v>
      </c>
      <c r="M85" s="30">
        <v>0.2152</v>
      </c>
      <c r="N85" s="30">
        <f t="shared" si="67"/>
        <v>0.1351</v>
      </c>
      <c r="O85" s="30">
        <f>ROUND(STORE_COST/4,4)</f>
        <v>0</v>
      </c>
      <c r="P85" s="115">
        <f t="shared" si="70"/>
        <v>0.1351</v>
      </c>
      <c r="Q85" s="30">
        <f t="shared" si="68"/>
        <v>0.0037</v>
      </c>
      <c r="R85" s="168">
        <f t="shared" si="69"/>
        <v>0.16</v>
      </c>
      <c r="S85" s="170"/>
      <c r="T85" s="172">
        <v>0.22</v>
      </c>
      <c r="U85" s="122">
        <f t="shared" si="65"/>
        <v>-0.06</v>
      </c>
    </row>
    <row r="86" spans="1:21" ht="14.25" thickBot="1" thickTop="1">
      <c r="A86" s="21" t="s">
        <v>66</v>
      </c>
      <c r="B86" s="27">
        <f>'CNTNR COST'!G84</f>
        <v>0.0685</v>
      </c>
      <c r="C86" s="26">
        <v>0</v>
      </c>
      <c r="D86" s="26">
        <f>+$D$16</f>
        <v>0.0373</v>
      </c>
      <c r="E86" s="31">
        <f>ROUND($E$11/8,4)</f>
        <v>0</v>
      </c>
      <c r="F86" s="31">
        <f>ROUND($F$11/8,4)</f>
        <v>-0.0002</v>
      </c>
      <c r="G86" s="26">
        <f t="shared" si="62"/>
        <v>0.1056</v>
      </c>
      <c r="H86" s="26">
        <f t="shared" si="66"/>
        <v>0.0038300518134714995</v>
      </c>
      <c r="I86" s="26">
        <f t="shared" si="63"/>
        <v>0.1094</v>
      </c>
      <c r="J86" s="26">
        <f>ROUND(J$11/8,4)</f>
        <v>-0.0163</v>
      </c>
      <c r="K86" s="26">
        <f>ROUND(K$11/8,4)</f>
        <v>0.0305</v>
      </c>
      <c r="L86" s="165">
        <f t="shared" si="64"/>
        <v>0.1236</v>
      </c>
      <c r="M86" s="30">
        <v>0.1251</v>
      </c>
      <c r="N86" s="30">
        <f t="shared" si="67"/>
        <v>0.1088</v>
      </c>
      <c r="O86" s="30">
        <f>ROUND(STORE_COST/8,4)</f>
        <v>0</v>
      </c>
      <c r="P86" s="115">
        <f t="shared" si="70"/>
        <v>0.1088</v>
      </c>
      <c r="Q86" s="30">
        <f t="shared" si="68"/>
        <v>0.003</v>
      </c>
      <c r="R86" s="168">
        <f t="shared" si="69"/>
        <v>0.13</v>
      </c>
      <c r="S86" s="170"/>
      <c r="T86" s="172">
        <v>0.13</v>
      </c>
      <c r="U86" s="122">
        <f t="shared" si="65"/>
        <v>0</v>
      </c>
    </row>
    <row r="87" spans="1:21" ht="14.25" thickBot="1" thickTop="1">
      <c r="A87" s="21" t="s">
        <v>94</v>
      </c>
      <c r="B87" s="36">
        <f>'CNTNR COST'!G85</f>
        <v>0.4138</v>
      </c>
      <c r="C87" s="37">
        <v>0</v>
      </c>
      <c r="D87" s="37">
        <f>+$D$17</f>
        <v>0.1058</v>
      </c>
      <c r="E87" s="40">
        <f>ROUND($E$11,4)</f>
        <v>0</v>
      </c>
      <c r="F87" s="40">
        <f>ROUND($F$11,4)</f>
        <v>-0.0013</v>
      </c>
      <c r="G87" s="37">
        <f t="shared" si="62"/>
        <v>0.5183</v>
      </c>
      <c r="H87" s="37">
        <f t="shared" si="66"/>
        <v>0.018798445595854973</v>
      </c>
      <c r="I87" s="37">
        <f t="shared" si="63"/>
        <v>0.5371</v>
      </c>
      <c r="J87" s="37">
        <f>J$11</f>
        <v>-0.1305</v>
      </c>
      <c r="K87" s="37">
        <f>K$11</f>
        <v>0.2437</v>
      </c>
      <c r="L87" s="166">
        <f t="shared" si="64"/>
        <v>0.6503</v>
      </c>
      <c r="M87" s="42">
        <v>0.7431</v>
      </c>
      <c r="N87" s="42">
        <f t="shared" si="67"/>
        <v>0.5723</v>
      </c>
      <c r="O87" s="42">
        <f>STORE_COST</f>
        <v>0</v>
      </c>
      <c r="P87" s="42">
        <f t="shared" si="70"/>
        <v>0.5723</v>
      </c>
      <c r="Q87" s="42">
        <f t="shared" si="68"/>
        <v>0.0159</v>
      </c>
      <c r="R87" s="169">
        <f>IF(ROUND(Q87+P87,2)&gt;L87,ROUND(Q87+P87,2),ROUND(L87+0.005,2))</f>
        <v>0.66</v>
      </c>
      <c r="S87" s="170"/>
      <c r="T87" s="173">
        <v>0.77</v>
      </c>
      <c r="U87" s="123">
        <f t="shared" si="65"/>
        <v>-0.10999999999999999</v>
      </c>
    </row>
    <row r="88" spans="1:20" ht="14.25" thickBot="1" thickTop="1">
      <c r="A88" s="38" t="s">
        <v>141</v>
      </c>
      <c r="L88" s="43"/>
      <c r="M88" s="43"/>
      <c r="N88" s="43"/>
      <c r="O88" s="43"/>
      <c r="P88" s="43"/>
      <c r="Q88" s="43"/>
      <c r="R88" s="170"/>
      <c r="S88" s="170"/>
      <c r="T88" s="170"/>
    </row>
    <row r="89" spans="1:21" ht="14.25" thickBot="1" thickTop="1">
      <c r="A89" s="21" t="s">
        <v>12</v>
      </c>
      <c r="B89" s="35">
        <f>'CNTNR COST'!G87</f>
        <v>2.1736</v>
      </c>
      <c r="C89" s="25">
        <v>0</v>
      </c>
      <c r="D89" s="25">
        <f>+$D$9</f>
        <v>-0.1067</v>
      </c>
      <c r="E89" s="39">
        <f>ROUND($E$11*4,4)</f>
        <v>0</v>
      </c>
      <c r="F89" s="39">
        <f>ROUND($F$11*4,4)</f>
        <v>-0.0052</v>
      </c>
      <c r="G89" s="25">
        <f aca="true" t="shared" si="71" ref="G89:G97">ROUND(SUM(B89:F89),4)</f>
        <v>2.0617</v>
      </c>
      <c r="H89" s="25">
        <f>(G89/(1-$H$5))-G89</f>
        <v>0.0747766839378241</v>
      </c>
      <c r="I89" s="25">
        <f aca="true" t="shared" si="72" ref="I89:I97">ROUND(G89+H89,4)</f>
        <v>2.1365</v>
      </c>
      <c r="J89" s="25">
        <f>ROUND(J$11*4,4)</f>
        <v>-0.522</v>
      </c>
      <c r="K89" s="25">
        <f>ROUND(K$11*4,4)</f>
        <v>0.9748</v>
      </c>
      <c r="L89" s="164">
        <f aca="true" t="shared" si="73" ref="L89:L97">ROUND(SUM(I89:K89),4)</f>
        <v>2.5893</v>
      </c>
      <c r="M89" s="41">
        <v>2.7515</v>
      </c>
      <c r="N89" s="41">
        <f>ROUND(L89-(L89*WHSLE_DISCNT),4)</f>
        <v>2.2786</v>
      </c>
      <c r="O89" s="41">
        <f>ROUND(4*STORE_COST,4)</f>
        <v>0</v>
      </c>
      <c r="P89" s="114">
        <f>N89+O89</f>
        <v>2.2786</v>
      </c>
      <c r="Q89" s="41">
        <f>ROUND(P89/(1-RETAIL_PRFT)-P89,4)</f>
        <v>0.0632</v>
      </c>
      <c r="R89" s="167">
        <f>IF(ROUND(Q89+P89,2)&gt;L89,ROUND(Q89+P89,2),ROUND(L89+0.005,2))</f>
        <v>2.59</v>
      </c>
      <c r="S89" s="170"/>
      <c r="T89" s="171">
        <v>2.88</v>
      </c>
      <c r="U89" s="121">
        <f aca="true" t="shared" si="74" ref="U89:U97">R89-T89</f>
        <v>-0.29000000000000004</v>
      </c>
    </row>
    <row r="90" spans="1:21" ht="14.25" thickBot="1" thickTop="1">
      <c r="A90" s="21" t="s">
        <v>63</v>
      </c>
      <c r="B90" s="27">
        <f>'CNTNR COST'!G88</f>
        <v>1.0868</v>
      </c>
      <c r="C90" s="26">
        <v>0</v>
      </c>
      <c r="D90" s="26">
        <f>+$D$10</f>
        <v>-0.0419</v>
      </c>
      <c r="E90" s="31">
        <f>ROUND($E$11*2,4)</f>
        <v>0</v>
      </c>
      <c r="F90" s="31">
        <f>ROUND($F$11*2,4)</f>
        <v>-0.0026</v>
      </c>
      <c r="G90" s="26">
        <f t="shared" si="71"/>
        <v>1.0423</v>
      </c>
      <c r="H90" s="26">
        <f t="shared" si="66"/>
        <v>0.03780362694300532</v>
      </c>
      <c r="I90" s="26">
        <f t="shared" si="72"/>
        <v>1.0801</v>
      </c>
      <c r="J90" s="26">
        <f>ROUND(J$11*2,4)</f>
        <v>-0.261</v>
      </c>
      <c r="K90" s="26">
        <f>ROUND(K$11*2,4)</f>
        <v>0.4874</v>
      </c>
      <c r="L90" s="165">
        <f t="shared" si="73"/>
        <v>1.3065</v>
      </c>
      <c r="M90" s="30">
        <v>1.421</v>
      </c>
      <c r="N90" s="30">
        <f aca="true" t="shared" si="75" ref="N90:N97">ROUND(L90-(L90*WHSLE_DISCNT),4)</f>
        <v>1.1497</v>
      </c>
      <c r="O90" s="30">
        <f>ROUND(2*STORE_COST,4)</f>
        <v>0</v>
      </c>
      <c r="P90" s="115">
        <f>O90+N90</f>
        <v>1.1497</v>
      </c>
      <c r="Q90" s="30">
        <f aca="true" t="shared" si="76" ref="Q90:Q97">ROUND(P90/(1-RETAIL_PRFT)-P90,4)</f>
        <v>0.0319</v>
      </c>
      <c r="R90" s="168">
        <f aca="true" t="shared" si="77" ref="R90:R96">IF(ROUND(Q90+P90,2)&gt;L90,ROUND(Q90+P90,2),ROUND(L90+0.005,2))</f>
        <v>1.31</v>
      </c>
      <c r="S90" s="170"/>
      <c r="T90" s="172">
        <v>1.48</v>
      </c>
      <c r="U90" s="122">
        <f t="shared" si="74"/>
        <v>-0.16999999999999993</v>
      </c>
    </row>
    <row r="91" spans="1:21" ht="14.25" thickBot="1" thickTop="1">
      <c r="A91" s="21" t="s">
        <v>14</v>
      </c>
      <c r="B91" s="27">
        <f>'CNTNR COST'!G89</f>
        <v>0.5434</v>
      </c>
      <c r="C91" s="26">
        <v>0</v>
      </c>
      <c r="D91" s="26">
        <f>+$D$11</f>
        <v>0.033</v>
      </c>
      <c r="E91" s="31">
        <f>ENERGY_ADDON</f>
        <v>0</v>
      </c>
      <c r="F91" s="31">
        <f>ROUND(COST_UPDATE_ADJ,4)</f>
        <v>-0.0013</v>
      </c>
      <c r="G91" s="26">
        <f t="shared" si="71"/>
        <v>0.5751</v>
      </c>
      <c r="H91" s="26">
        <f t="shared" si="66"/>
        <v>0.02085854922279795</v>
      </c>
      <c r="I91" s="26">
        <f t="shared" si="72"/>
        <v>0.596</v>
      </c>
      <c r="J91" s="26">
        <f>$J$11</f>
        <v>-0.1305</v>
      </c>
      <c r="K91" s="26">
        <f>$K$11</f>
        <v>0.2437</v>
      </c>
      <c r="L91" s="165">
        <f t="shared" si="73"/>
        <v>0.7092</v>
      </c>
      <c r="M91" s="30">
        <v>0.7567</v>
      </c>
      <c r="N91" s="30">
        <f t="shared" si="75"/>
        <v>0.6241</v>
      </c>
      <c r="O91" s="30">
        <f>STORE_COST</f>
        <v>0</v>
      </c>
      <c r="P91" s="115">
        <f aca="true" t="shared" si="78" ref="P91:P97">O91+N91</f>
        <v>0.6241</v>
      </c>
      <c r="Q91" s="30">
        <f t="shared" si="76"/>
        <v>0.0173</v>
      </c>
      <c r="R91" s="168">
        <f t="shared" si="77"/>
        <v>0.71</v>
      </c>
      <c r="S91" s="170"/>
      <c r="T91" s="172">
        <v>0.78</v>
      </c>
      <c r="U91" s="122">
        <f t="shared" si="74"/>
        <v>-0.07000000000000006</v>
      </c>
    </row>
    <row r="92" spans="1:21" ht="14.25" thickBot="1" thickTop="1">
      <c r="A92" s="21" t="s">
        <v>15</v>
      </c>
      <c r="B92" s="27">
        <f>'CNTNR COST'!G90</f>
        <v>0.2717</v>
      </c>
      <c r="C92" s="26">
        <v>0</v>
      </c>
      <c r="D92" s="26">
        <f>+$D$12</f>
        <v>0.0755</v>
      </c>
      <c r="E92" s="31">
        <f>ROUND($E$11/2,4)</f>
        <v>0</v>
      </c>
      <c r="F92" s="31">
        <f>ROUND($F$11/2,4)</f>
        <v>-0.0007</v>
      </c>
      <c r="G92" s="26">
        <f t="shared" si="71"/>
        <v>0.3465</v>
      </c>
      <c r="H92" s="26">
        <f t="shared" si="66"/>
        <v>0.012567357512953403</v>
      </c>
      <c r="I92" s="26">
        <f t="shared" si="72"/>
        <v>0.3591</v>
      </c>
      <c r="J92" s="26">
        <f>ROUND(J$11/2,4)</f>
        <v>-0.0653</v>
      </c>
      <c r="K92" s="26">
        <f>ROUND(K$11/2,4)</f>
        <v>0.1219</v>
      </c>
      <c r="L92" s="165">
        <f t="shared" si="73"/>
        <v>0.4157</v>
      </c>
      <c r="M92" s="30">
        <v>0.4103</v>
      </c>
      <c r="N92" s="30">
        <f t="shared" si="75"/>
        <v>0.3658</v>
      </c>
      <c r="O92" s="30">
        <f>ROUND(STORE_COST/2,4)</f>
        <v>0</v>
      </c>
      <c r="P92" s="115">
        <f t="shared" si="78"/>
        <v>0.3658</v>
      </c>
      <c r="Q92" s="30">
        <f t="shared" si="76"/>
        <v>0.0102</v>
      </c>
      <c r="R92" s="168">
        <f t="shared" si="77"/>
        <v>0.42</v>
      </c>
      <c r="S92" s="170"/>
      <c r="T92" s="172">
        <v>0.42</v>
      </c>
      <c r="U92" s="122">
        <f t="shared" si="74"/>
        <v>0</v>
      </c>
    </row>
    <row r="93" spans="1:21" ht="14.25" thickBot="1" thickTop="1">
      <c r="A93" s="21" t="s">
        <v>162</v>
      </c>
      <c r="B93" s="27">
        <f>'CNTNR COST'!G91</f>
        <v>0.2501</v>
      </c>
      <c r="C93" s="26"/>
      <c r="D93" s="30">
        <f>+$D$13</f>
        <v>0.0124</v>
      </c>
      <c r="E93" s="31">
        <f>ROUND($E$11/32*12,4)</f>
        <v>0</v>
      </c>
      <c r="F93" s="31">
        <f>ROUND($F$11/32*12,4)</f>
        <v>-0.0005</v>
      </c>
      <c r="G93" s="26">
        <f t="shared" si="71"/>
        <v>0.262</v>
      </c>
      <c r="H93" s="26">
        <f t="shared" si="66"/>
        <v>0.009502590673575118</v>
      </c>
      <c r="I93" s="26">
        <f t="shared" si="72"/>
        <v>0.2715</v>
      </c>
      <c r="J93" s="26">
        <f>ROUND(J91/32*12,4)</f>
        <v>-0.0489</v>
      </c>
      <c r="K93" s="26">
        <f>ROUND(K91/32*12,4)</f>
        <v>0.0914</v>
      </c>
      <c r="L93" s="165">
        <f t="shared" si="73"/>
        <v>0.314</v>
      </c>
      <c r="M93" s="30"/>
      <c r="N93" s="30">
        <f t="shared" si="75"/>
        <v>0.2763</v>
      </c>
      <c r="O93" s="30">
        <f>ROUND(STORE_COST/32*12,4)</f>
        <v>0</v>
      </c>
      <c r="P93" s="115">
        <f t="shared" si="78"/>
        <v>0.2763</v>
      </c>
      <c r="Q93" s="30">
        <f t="shared" si="76"/>
        <v>0.0077</v>
      </c>
      <c r="R93" s="168">
        <f t="shared" si="77"/>
        <v>0.32</v>
      </c>
      <c r="S93" s="170"/>
      <c r="T93" s="172"/>
      <c r="U93" s="122"/>
    </row>
    <row r="94" spans="1:21" ht="14.25" thickBot="1" thickTop="1">
      <c r="A94" s="21" t="s">
        <v>64</v>
      </c>
      <c r="B94" s="27">
        <f>'CNTNR COST'!G92</f>
        <v>0.2243</v>
      </c>
      <c r="C94" s="26">
        <v>0</v>
      </c>
      <c r="D94" s="26">
        <f>+$D$14</f>
        <v>0.0103</v>
      </c>
      <c r="E94" s="31">
        <f>ROUND($E$11/32*10,4)</f>
        <v>0</v>
      </c>
      <c r="F94" s="31">
        <f>ROUND($F$11/32*10,4)</f>
        <v>-0.0004</v>
      </c>
      <c r="G94" s="26">
        <f t="shared" si="71"/>
        <v>0.2342</v>
      </c>
      <c r="H94" s="26">
        <f t="shared" si="66"/>
        <v>0.008494300518134712</v>
      </c>
      <c r="I94" s="26">
        <f t="shared" si="72"/>
        <v>0.2427</v>
      </c>
      <c r="J94" s="26">
        <f>ROUND(J$11/3,4)</f>
        <v>-0.0435</v>
      </c>
      <c r="K94" s="26">
        <f>ROUND(K$11/3,4)</f>
        <v>0.0812</v>
      </c>
      <c r="L94" s="165">
        <f t="shared" si="73"/>
        <v>0.2804</v>
      </c>
      <c r="M94" s="30">
        <v>0.284</v>
      </c>
      <c r="N94" s="30">
        <f t="shared" si="75"/>
        <v>0.2468</v>
      </c>
      <c r="O94" s="30">
        <f>ROUND(STORE_COST/32*10,4)</f>
        <v>0</v>
      </c>
      <c r="P94" s="115">
        <f t="shared" si="78"/>
        <v>0.2468</v>
      </c>
      <c r="Q94" s="30">
        <f t="shared" si="76"/>
        <v>0.0068</v>
      </c>
      <c r="R94" s="168">
        <f t="shared" si="77"/>
        <v>0.29</v>
      </c>
      <c r="S94" s="170"/>
      <c r="T94" s="172">
        <v>0.29</v>
      </c>
      <c r="U94" s="122">
        <f t="shared" si="74"/>
        <v>0</v>
      </c>
    </row>
    <row r="95" spans="1:21" ht="14.25" thickBot="1" thickTop="1">
      <c r="A95" s="21" t="s">
        <v>65</v>
      </c>
      <c r="B95" s="27">
        <f>'CNTNR COST'!G93</f>
        <v>0.1359</v>
      </c>
      <c r="C95" s="26">
        <v>0</v>
      </c>
      <c r="D95" s="26">
        <f>+$D$15</f>
        <v>0.0367</v>
      </c>
      <c r="E95" s="31">
        <f>ROUND($E$11/4,4)</f>
        <v>0</v>
      </c>
      <c r="F95" s="31">
        <f>ROUND($F$11/4,4)</f>
        <v>-0.0003</v>
      </c>
      <c r="G95" s="26">
        <f t="shared" si="71"/>
        <v>0.1723</v>
      </c>
      <c r="H95" s="26">
        <f t="shared" si="66"/>
        <v>0.006249222797927473</v>
      </c>
      <c r="I95" s="26">
        <f t="shared" si="72"/>
        <v>0.1785</v>
      </c>
      <c r="J95" s="26">
        <f>ROUND(J$11/4,4)</f>
        <v>-0.0326</v>
      </c>
      <c r="K95" s="26">
        <f>ROUND(K$11/4,4)</f>
        <v>0.0609</v>
      </c>
      <c r="L95" s="165">
        <f t="shared" si="73"/>
        <v>0.2068</v>
      </c>
      <c r="M95" s="30">
        <v>0.2152</v>
      </c>
      <c r="N95" s="30">
        <f t="shared" si="75"/>
        <v>0.182</v>
      </c>
      <c r="O95" s="30">
        <f>ROUND(STORE_COST/4,4)</f>
        <v>0</v>
      </c>
      <c r="P95" s="115">
        <f t="shared" si="78"/>
        <v>0.182</v>
      </c>
      <c r="Q95" s="30">
        <f t="shared" si="76"/>
        <v>0.0051</v>
      </c>
      <c r="R95" s="168">
        <f t="shared" si="77"/>
        <v>0.21</v>
      </c>
      <c r="S95" s="170"/>
      <c r="T95" s="172">
        <v>0.22</v>
      </c>
      <c r="U95" s="122">
        <f t="shared" si="74"/>
        <v>-0.010000000000000009</v>
      </c>
    </row>
    <row r="96" spans="1:21" ht="14.25" thickBot="1" thickTop="1">
      <c r="A96" s="21" t="s">
        <v>66</v>
      </c>
      <c r="B96" s="27">
        <f>'CNTNR COST'!G94</f>
        <v>0.0942</v>
      </c>
      <c r="C96" s="26">
        <v>0</v>
      </c>
      <c r="D96" s="26">
        <f>+$D$16</f>
        <v>0.0373</v>
      </c>
      <c r="E96" s="31">
        <f>ROUND($E$11/8,4)</f>
        <v>0</v>
      </c>
      <c r="F96" s="31">
        <f>ROUND($F$11/8,4)</f>
        <v>-0.0002</v>
      </c>
      <c r="G96" s="26">
        <f t="shared" si="71"/>
        <v>0.1313</v>
      </c>
      <c r="H96" s="26">
        <f t="shared" si="66"/>
        <v>0.0047621761658031</v>
      </c>
      <c r="I96" s="26">
        <f t="shared" si="72"/>
        <v>0.1361</v>
      </c>
      <c r="J96" s="26">
        <f>ROUND(J$11/8,4)</f>
        <v>-0.0163</v>
      </c>
      <c r="K96" s="26">
        <f>ROUND(K$11/8,4)</f>
        <v>0.0305</v>
      </c>
      <c r="L96" s="165">
        <f t="shared" si="73"/>
        <v>0.1503</v>
      </c>
      <c r="M96" s="30">
        <v>0.1251</v>
      </c>
      <c r="N96" s="30">
        <f t="shared" si="75"/>
        <v>0.1323</v>
      </c>
      <c r="O96" s="30">
        <f>ROUND(STORE_COST/8,4)</f>
        <v>0</v>
      </c>
      <c r="P96" s="115">
        <f t="shared" si="78"/>
        <v>0.1323</v>
      </c>
      <c r="Q96" s="30">
        <f t="shared" si="76"/>
        <v>0.0037</v>
      </c>
      <c r="R96" s="168">
        <f t="shared" si="77"/>
        <v>0.16</v>
      </c>
      <c r="S96" s="170"/>
      <c r="T96" s="172">
        <v>0.13</v>
      </c>
      <c r="U96" s="122">
        <f t="shared" si="74"/>
        <v>0.03</v>
      </c>
    </row>
    <row r="97" spans="1:21" ht="14.25" thickBot="1" thickTop="1">
      <c r="A97" s="21" t="s">
        <v>94</v>
      </c>
      <c r="B97" s="36">
        <f>'CNTNR COST'!G95</f>
        <v>0.6198</v>
      </c>
      <c r="C97" s="37">
        <v>0</v>
      </c>
      <c r="D97" s="37">
        <f>+$D$17</f>
        <v>0.1058</v>
      </c>
      <c r="E97" s="40">
        <f>ROUND($E$11,4)</f>
        <v>0</v>
      </c>
      <c r="F97" s="40">
        <f>ROUND($F$11,4)</f>
        <v>-0.0013</v>
      </c>
      <c r="G97" s="37">
        <f t="shared" si="71"/>
        <v>0.7243</v>
      </c>
      <c r="H97" s="37">
        <f t="shared" si="66"/>
        <v>0.026269948186528502</v>
      </c>
      <c r="I97" s="37">
        <f t="shared" si="72"/>
        <v>0.7506</v>
      </c>
      <c r="J97" s="37">
        <f>J$11</f>
        <v>-0.1305</v>
      </c>
      <c r="K97" s="37">
        <f>K$11</f>
        <v>0.2437</v>
      </c>
      <c r="L97" s="166">
        <f t="shared" si="73"/>
        <v>0.8638</v>
      </c>
      <c r="M97" s="42">
        <v>0.7431</v>
      </c>
      <c r="N97" s="42">
        <f t="shared" si="75"/>
        <v>0.7601</v>
      </c>
      <c r="O97" s="42">
        <f>STORE_COST</f>
        <v>0</v>
      </c>
      <c r="P97" s="42">
        <f t="shared" si="78"/>
        <v>0.7601</v>
      </c>
      <c r="Q97" s="42">
        <f t="shared" si="76"/>
        <v>0.0211</v>
      </c>
      <c r="R97" s="169">
        <f>IF(ROUND(Q97+P97,2)&gt;L97,ROUND(Q97+P97,2),ROUND(L97+0.005,2))</f>
        <v>0.87</v>
      </c>
      <c r="S97" s="170"/>
      <c r="T97" s="173">
        <v>0.77</v>
      </c>
      <c r="U97" s="123">
        <f t="shared" si="74"/>
        <v>0.09999999999999998</v>
      </c>
    </row>
    <row r="98" spans="1:20" ht="14.25" thickBot="1" thickTop="1">
      <c r="A98" s="38" t="s">
        <v>68</v>
      </c>
      <c r="L98" s="43"/>
      <c r="M98" s="43"/>
      <c r="N98" s="43"/>
      <c r="O98" s="43"/>
      <c r="P98" s="43"/>
      <c r="Q98" s="43"/>
      <c r="R98" s="170"/>
      <c r="S98" s="170"/>
      <c r="T98" s="186"/>
    </row>
    <row r="99" spans="1:21" ht="14.25" thickBot="1" thickTop="1">
      <c r="A99" s="21" t="s">
        <v>63</v>
      </c>
      <c r="B99" s="35">
        <f>'CNTNR COST'!G97</f>
        <v>0.568</v>
      </c>
      <c r="C99" s="25">
        <f>C100*2</f>
        <v>0.388</v>
      </c>
      <c r="D99" s="25">
        <f>+$D$10</f>
        <v>-0.0419</v>
      </c>
      <c r="E99" s="39">
        <f>ROUND($E$11*2,4)</f>
        <v>0</v>
      </c>
      <c r="F99" s="39">
        <f>ROUND($F$11*2,4)</f>
        <v>-0.0026</v>
      </c>
      <c r="G99" s="25">
        <f>ROUND(SUM(B99:F99),4)</f>
        <v>0.9115</v>
      </c>
      <c r="H99" s="25">
        <f t="shared" si="66"/>
        <v>0.03305958549222798</v>
      </c>
      <c r="I99" s="25">
        <f>ROUND(G99+H99,4)</f>
        <v>0.9446</v>
      </c>
      <c r="J99" s="25">
        <f>ROUND(J$11*2,4)</f>
        <v>-0.261</v>
      </c>
      <c r="K99" s="25">
        <f>ROUND(K$11*2,4)</f>
        <v>0.4874</v>
      </c>
      <c r="L99" s="164">
        <f aca="true" t="shared" si="79" ref="L99:L109">ROUND(SUM(I99:K99),4)</f>
        <v>1.171</v>
      </c>
      <c r="M99" s="41">
        <v>2.6427</v>
      </c>
      <c r="N99" s="41">
        <f t="shared" si="67"/>
        <v>1.0305</v>
      </c>
      <c r="O99" s="41">
        <f>ROUND(2*STORE_COST,4)</f>
        <v>0</v>
      </c>
      <c r="P99" s="41">
        <f>N99+O99</f>
        <v>1.0305</v>
      </c>
      <c r="Q99" s="41">
        <f>ROUND(P99/(1-RETAIL_PRFT)-P99,4)</f>
        <v>0.0286</v>
      </c>
      <c r="R99" s="167">
        <f>IF(ROUND(Q99+P99,2)&gt;L99,ROUND(Q99+P99,2),ROUND(L99+0.005,2))</f>
        <v>1.18</v>
      </c>
      <c r="S99" s="170"/>
      <c r="T99" s="183">
        <v>2.66</v>
      </c>
      <c r="U99" s="121">
        <f>R99-T109</f>
        <v>1.13</v>
      </c>
    </row>
    <row r="100" spans="1:21" ht="14.25" thickBot="1" thickTop="1">
      <c r="A100" s="21" t="s">
        <v>14</v>
      </c>
      <c r="B100" s="27">
        <f>'CNTNR COST'!G98</f>
        <v>0.284</v>
      </c>
      <c r="C100" s="26">
        <f>H_AND_H_ADDON</f>
        <v>0.194</v>
      </c>
      <c r="D100" s="26">
        <f>+$D$11</f>
        <v>0.033</v>
      </c>
      <c r="E100" s="31">
        <f>ENERGY_ADDON</f>
        <v>0</v>
      </c>
      <c r="F100" s="31">
        <f>ROUND(COST_UPDATE_ADJ,4)</f>
        <v>-0.0013</v>
      </c>
      <c r="G100" s="26">
        <f aca="true" t="shared" si="80" ref="G100:G109">ROUND(SUM(B100:F100),4)</f>
        <v>0.5097</v>
      </c>
      <c r="H100" s="26">
        <f t="shared" si="66"/>
        <v>0.018486528497409394</v>
      </c>
      <c r="I100" s="26">
        <f aca="true" t="shared" si="81" ref="I100:I109">ROUND(G100+H100,4)</f>
        <v>0.5282</v>
      </c>
      <c r="J100" s="26">
        <f>$J$11</f>
        <v>-0.1305</v>
      </c>
      <c r="K100" s="26">
        <f>$K$11</f>
        <v>0.2437</v>
      </c>
      <c r="L100" s="165">
        <f t="shared" si="79"/>
        <v>0.6414</v>
      </c>
      <c r="M100" s="30">
        <v>1.3675</v>
      </c>
      <c r="N100" s="30">
        <f t="shared" si="67"/>
        <v>0.5644</v>
      </c>
      <c r="O100" s="30">
        <f>STORE_COST</f>
        <v>0</v>
      </c>
      <c r="P100" s="30">
        <f>O100+N100</f>
        <v>0.5644</v>
      </c>
      <c r="Q100" s="30">
        <f aca="true" t="shared" si="82" ref="Q100:Q109">ROUND(P100/(1-RETAIL_PRFT)-P100,4)</f>
        <v>0.0157</v>
      </c>
      <c r="R100" s="168">
        <f aca="true" t="shared" si="83" ref="R100:R106">IF(ROUND(Q100+P100,2)&gt;L100,ROUND(Q100+P100,2),ROUND(L100+0.005,2))</f>
        <v>0.65</v>
      </c>
      <c r="S100" s="170"/>
      <c r="T100" s="184">
        <v>1.38</v>
      </c>
      <c r="U100" s="122">
        <f>R100-T110</f>
        <v>0.65</v>
      </c>
    </row>
    <row r="101" spans="1:21" ht="14.25" thickBot="1" thickTop="1">
      <c r="A101" s="21" t="s">
        <v>15</v>
      </c>
      <c r="B101" s="27">
        <f>'CNTNR COST'!G99</f>
        <v>0.142</v>
      </c>
      <c r="C101" s="26">
        <f>ROUND(C100/2,4)</f>
        <v>0.097</v>
      </c>
      <c r="D101" s="26">
        <f>+$D$12</f>
        <v>0.0755</v>
      </c>
      <c r="E101" s="31">
        <f>ROUND($E$11/2,4)</f>
        <v>0</v>
      </c>
      <c r="F101" s="31">
        <f>ROUND($F$11/2,4)</f>
        <v>-0.0007</v>
      </c>
      <c r="G101" s="26">
        <f t="shared" si="80"/>
        <v>0.3138</v>
      </c>
      <c r="H101" s="26">
        <f t="shared" si="66"/>
        <v>0.011381347150259069</v>
      </c>
      <c r="I101" s="26">
        <f t="shared" si="81"/>
        <v>0.3252</v>
      </c>
      <c r="J101" s="26">
        <f>ROUND(J$11/2,4)</f>
        <v>-0.0653</v>
      </c>
      <c r="K101" s="26">
        <f>ROUND(K$11/2,4)</f>
        <v>0.1219</v>
      </c>
      <c r="L101" s="165">
        <f t="shared" si="79"/>
        <v>0.3818</v>
      </c>
      <c r="M101" s="30">
        <v>0.7157</v>
      </c>
      <c r="N101" s="30">
        <f t="shared" si="67"/>
        <v>0.336</v>
      </c>
      <c r="O101" s="30">
        <f>ROUND(STORE_COST/2,4)</f>
        <v>0</v>
      </c>
      <c r="P101" s="30">
        <f aca="true" t="shared" si="84" ref="P101:P109">O101+N101</f>
        <v>0.336</v>
      </c>
      <c r="Q101" s="30">
        <f t="shared" si="82"/>
        <v>0.0093</v>
      </c>
      <c r="R101" s="168">
        <f t="shared" si="83"/>
        <v>0.39</v>
      </c>
      <c r="S101" s="170"/>
      <c r="T101" s="184">
        <v>0.72</v>
      </c>
      <c r="U101" s="122">
        <f>R101-T111</f>
        <v>-3.8000000000000003</v>
      </c>
    </row>
    <row r="102" spans="1:21" ht="14.25" thickBot="1" thickTop="1">
      <c r="A102" s="21" t="s">
        <v>162</v>
      </c>
      <c r="B102" s="27">
        <f>'CNTNR COST'!G100</f>
        <v>0.1528</v>
      </c>
      <c r="C102" s="26">
        <f>ROUND(C100/32*12,4)</f>
        <v>0.0728</v>
      </c>
      <c r="D102" s="30">
        <f>+$D$13</f>
        <v>0.0124</v>
      </c>
      <c r="E102" s="31">
        <f>ROUND($E$11/32*12,4)</f>
        <v>0</v>
      </c>
      <c r="F102" s="31">
        <f>ROUND($F$11/32*12,4)</f>
        <v>-0.0005</v>
      </c>
      <c r="G102" s="26">
        <f t="shared" si="80"/>
        <v>0.2375</v>
      </c>
      <c r="H102" s="26">
        <f t="shared" si="66"/>
        <v>0.008613989637305697</v>
      </c>
      <c r="I102" s="26">
        <f t="shared" si="81"/>
        <v>0.2461</v>
      </c>
      <c r="J102" s="26">
        <f>ROUND(J100/32*12,4)</f>
        <v>-0.0489</v>
      </c>
      <c r="K102" s="26">
        <f>ROUND(K100/32*12,4)</f>
        <v>0.0914</v>
      </c>
      <c r="L102" s="165">
        <f t="shared" si="79"/>
        <v>0.2886</v>
      </c>
      <c r="M102" s="30"/>
      <c r="N102" s="30">
        <f t="shared" si="67"/>
        <v>0.254</v>
      </c>
      <c r="O102" s="30">
        <f>ROUND(STORE_COST/32*12,4)</f>
        <v>0</v>
      </c>
      <c r="P102" s="115">
        <f t="shared" si="84"/>
        <v>0.254</v>
      </c>
      <c r="Q102" s="30">
        <f t="shared" si="82"/>
        <v>0.007</v>
      </c>
      <c r="R102" s="168">
        <f t="shared" si="83"/>
        <v>0.29</v>
      </c>
      <c r="S102" s="170"/>
      <c r="T102" s="172"/>
      <c r="U102" s="122"/>
    </row>
    <row r="103" spans="1:21" ht="14.25" thickBot="1" thickTop="1">
      <c r="A103" s="21" t="s">
        <v>64</v>
      </c>
      <c r="B103" s="27">
        <f>'CNTNR COST'!G101</f>
        <v>0.1432</v>
      </c>
      <c r="C103" s="26">
        <f>ROUND(C100/32*10,4)</f>
        <v>0.0606</v>
      </c>
      <c r="D103" s="26">
        <f>+$D$14</f>
        <v>0.0103</v>
      </c>
      <c r="E103" s="31">
        <f>ROUND($E$11/32*10,4)</f>
        <v>0</v>
      </c>
      <c r="F103" s="31">
        <f>ROUND($F$11/32*10,4)</f>
        <v>-0.0004</v>
      </c>
      <c r="G103" s="26">
        <f t="shared" si="80"/>
        <v>0.2137</v>
      </c>
      <c r="H103" s="26">
        <f t="shared" si="66"/>
        <v>0.00775077720207254</v>
      </c>
      <c r="I103" s="26">
        <f t="shared" si="81"/>
        <v>0.2215</v>
      </c>
      <c r="J103" s="26">
        <f>ROUND(J$11/3,4)</f>
        <v>-0.0435</v>
      </c>
      <c r="K103" s="26">
        <f>ROUND(K$11/3,4)</f>
        <v>0.0812</v>
      </c>
      <c r="L103" s="165">
        <f t="shared" si="79"/>
        <v>0.2592</v>
      </c>
      <c r="M103" s="30">
        <v>0.475</v>
      </c>
      <c r="N103" s="30">
        <f t="shared" si="67"/>
        <v>0.2281</v>
      </c>
      <c r="O103" s="30">
        <f>ROUND(STORE_COST/32*10,4)</f>
        <v>0</v>
      </c>
      <c r="P103" s="30">
        <f t="shared" si="84"/>
        <v>0.2281</v>
      </c>
      <c r="Q103" s="30">
        <f t="shared" si="82"/>
        <v>0.0063</v>
      </c>
      <c r="R103" s="168">
        <f t="shared" si="83"/>
        <v>0.26</v>
      </c>
      <c r="S103" s="170"/>
      <c r="T103" s="184">
        <v>0.48</v>
      </c>
      <c r="U103" s="122">
        <f>R103-T112</f>
        <v>-1.8800000000000001</v>
      </c>
    </row>
    <row r="104" spans="1:21" ht="14.25" thickBot="1" thickTop="1">
      <c r="A104" s="21" t="s">
        <v>65</v>
      </c>
      <c r="B104" s="27">
        <f>'CNTNR COST'!G102</f>
        <v>0.071</v>
      </c>
      <c r="C104" s="26">
        <f>ROUND(C100/4,4)</f>
        <v>0.0485</v>
      </c>
      <c r="D104" s="26">
        <f>+$D$15</f>
        <v>0.0367</v>
      </c>
      <c r="E104" s="31">
        <f>ROUND($E$11/4,4)</f>
        <v>0</v>
      </c>
      <c r="F104" s="31">
        <f>ROUND($F$11/4,4)</f>
        <v>-0.0003</v>
      </c>
      <c r="G104" s="26">
        <f t="shared" si="80"/>
        <v>0.1559</v>
      </c>
      <c r="H104" s="26">
        <f t="shared" si="66"/>
        <v>0.005654404145077729</v>
      </c>
      <c r="I104" s="26">
        <f t="shared" si="81"/>
        <v>0.1616</v>
      </c>
      <c r="J104" s="26">
        <f>ROUND(J$11/4,4)</f>
        <v>-0.0326</v>
      </c>
      <c r="K104" s="26">
        <f>ROUND(K$11/4,4)</f>
        <v>0.0609</v>
      </c>
      <c r="L104" s="165">
        <f t="shared" si="79"/>
        <v>0.1899</v>
      </c>
      <c r="M104" s="30">
        <v>0.3679</v>
      </c>
      <c r="N104" s="30">
        <f t="shared" si="67"/>
        <v>0.1671</v>
      </c>
      <c r="O104" s="30">
        <f>ROUND(STORE_COST/4,4)</f>
        <v>0</v>
      </c>
      <c r="P104" s="30">
        <f t="shared" si="84"/>
        <v>0.1671</v>
      </c>
      <c r="Q104" s="30">
        <f t="shared" si="82"/>
        <v>0.0046</v>
      </c>
      <c r="R104" s="168">
        <f t="shared" si="83"/>
        <v>0.19</v>
      </c>
      <c r="S104" s="170"/>
      <c r="T104" s="184">
        <v>0.37</v>
      </c>
      <c r="U104" s="122">
        <f>R104-T113</f>
        <v>-0.9200000000000002</v>
      </c>
    </row>
    <row r="105" spans="1:21" ht="14.25" thickBot="1" thickTop="1">
      <c r="A105" s="21" t="s">
        <v>66</v>
      </c>
      <c r="B105" s="27">
        <f>'CNTNR COST'!G103</f>
        <v>0.0618</v>
      </c>
      <c r="C105" s="26">
        <f>ROUND(C100/8,4)</f>
        <v>0.0243</v>
      </c>
      <c r="D105" s="26">
        <f>+$D$16</f>
        <v>0.0373</v>
      </c>
      <c r="E105" s="31">
        <f>ROUND($E$11/8,4)</f>
        <v>0</v>
      </c>
      <c r="F105" s="31">
        <f>ROUND($F$11/8,4)</f>
        <v>-0.0002</v>
      </c>
      <c r="G105" s="26">
        <f t="shared" si="80"/>
        <v>0.1232</v>
      </c>
      <c r="H105" s="26">
        <f t="shared" si="66"/>
        <v>0.004468393782383423</v>
      </c>
      <c r="I105" s="26">
        <f t="shared" si="81"/>
        <v>0.1277</v>
      </c>
      <c r="J105" s="26">
        <f>ROUND(J$11/8,4)</f>
        <v>-0.0163</v>
      </c>
      <c r="K105" s="26">
        <f>ROUND(K$11/8,4)</f>
        <v>0.0305</v>
      </c>
      <c r="L105" s="165">
        <f t="shared" si="79"/>
        <v>0.1419</v>
      </c>
      <c r="M105" s="30">
        <v>0.2015</v>
      </c>
      <c r="N105" s="30">
        <f t="shared" si="67"/>
        <v>0.1249</v>
      </c>
      <c r="O105" s="30">
        <f>ROUND(STORE_COST/8,4)</f>
        <v>0</v>
      </c>
      <c r="P105" s="30">
        <f t="shared" si="84"/>
        <v>0.1249</v>
      </c>
      <c r="Q105" s="30">
        <f t="shared" si="82"/>
        <v>0.0035</v>
      </c>
      <c r="R105" s="168">
        <f t="shared" si="83"/>
        <v>0.15</v>
      </c>
      <c r="S105" s="170"/>
      <c r="T105" s="184">
        <v>0.21</v>
      </c>
      <c r="U105" s="122">
        <f>R105-T115</f>
        <v>-0.57</v>
      </c>
    </row>
    <row r="106" spans="1:21" ht="14.25" thickBot="1" thickTop="1">
      <c r="A106" s="21" t="s">
        <v>94</v>
      </c>
      <c r="B106" s="27">
        <f>'CNTNR COST'!G104</f>
        <v>0.3604</v>
      </c>
      <c r="C106" s="26">
        <f>C100</f>
        <v>0.194</v>
      </c>
      <c r="D106" s="26">
        <f>+$D$17</f>
        <v>0.1058</v>
      </c>
      <c r="E106" s="31">
        <f>ROUND($E$11,4)</f>
        <v>0</v>
      </c>
      <c r="F106" s="31">
        <f>ROUND($F$11,4)</f>
        <v>-0.0013</v>
      </c>
      <c r="G106" s="26">
        <f t="shared" si="80"/>
        <v>0.6589</v>
      </c>
      <c r="H106" s="26">
        <f t="shared" si="66"/>
        <v>0.023897927461139945</v>
      </c>
      <c r="I106" s="26">
        <f t="shared" si="81"/>
        <v>0.6828</v>
      </c>
      <c r="J106" s="26">
        <f>J$11</f>
        <v>-0.1305</v>
      </c>
      <c r="K106" s="26">
        <f>K$11</f>
        <v>0.2437</v>
      </c>
      <c r="L106" s="165">
        <f t="shared" si="79"/>
        <v>0.796</v>
      </c>
      <c r="M106" s="30">
        <v>1.354</v>
      </c>
      <c r="N106" s="30">
        <f t="shared" si="67"/>
        <v>0.7005</v>
      </c>
      <c r="O106" s="30">
        <f>STORE_COST</f>
        <v>0</v>
      </c>
      <c r="P106" s="30">
        <f t="shared" si="84"/>
        <v>0.7005</v>
      </c>
      <c r="Q106" s="30">
        <f t="shared" si="82"/>
        <v>0.0194</v>
      </c>
      <c r="R106" s="168">
        <f t="shared" si="83"/>
        <v>0.8</v>
      </c>
      <c r="S106" s="170"/>
      <c r="T106" s="184">
        <v>1.37</v>
      </c>
      <c r="U106" s="122">
        <f>R106-T116</f>
        <v>0.2300000000000001</v>
      </c>
    </row>
    <row r="107" spans="1:21" ht="14.25" thickBot="1" thickTop="1">
      <c r="A107" s="21" t="s">
        <v>69</v>
      </c>
      <c r="B107" s="27">
        <f>'CNTNR COST'!G105</f>
        <v>0.0033</v>
      </c>
      <c r="C107" s="26">
        <f>ROUND(C108/4*3,4)</f>
        <v>0.0106</v>
      </c>
      <c r="D107" s="26"/>
      <c r="E107" s="197">
        <f>ROUND(E100/32*3/8,4)</f>
        <v>0</v>
      </c>
      <c r="F107" s="197">
        <f>ROUND(F100/32*3/8,4)</f>
        <v>0</v>
      </c>
      <c r="G107" s="26">
        <f t="shared" si="80"/>
        <v>0.0139</v>
      </c>
      <c r="H107" s="26">
        <f t="shared" si="66"/>
        <v>0.000504145077720208</v>
      </c>
      <c r="I107" s="26">
        <f t="shared" si="81"/>
        <v>0.0144</v>
      </c>
      <c r="J107" s="26">
        <f>+J105/32*3</f>
        <v>-0.001528125</v>
      </c>
      <c r="K107" s="26">
        <f>ROUND(K105/32*3,4)</f>
        <v>0.0029</v>
      </c>
      <c r="L107" s="165">
        <f t="shared" si="79"/>
        <v>0.0158</v>
      </c>
      <c r="M107" s="30">
        <v>0.0207</v>
      </c>
      <c r="N107" s="30">
        <f t="shared" si="67"/>
        <v>0.0139</v>
      </c>
      <c r="O107" s="30">
        <f>ROUND(STORE_COST/85.333,4)</f>
        <v>0</v>
      </c>
      <c r="P107" s="30">
        <f t="shared" si="84"/>
        <v>0.0139</v>
      </c>
      <c r="Q107" s="30">
        <f t="shared" si="82"/>
        <v>0.0004</v>
      </c>
      <c r="R107" s="168">
        <f>IF(ROUND(Q107+P107,2)&gt;L107,ROUND(Q107+P107,2),ROUND(L107+0.005,2))</f>
        <v>0.02</v>
      </c>
      <c r="S107" s="170"/>
      <c r="T107" s="184">
        <v>0.03</v>
      </c>
      <c r="U107" s="122">
        <f>R107-T117</f>
        <v>-0.27999999999999997</v>
      </c>
    </row>
    <row r="108" spans="1:21" ht="14.25" thickBot="1" thickTop="1">
      <c r="A108" s="21" t="s">
        <v>70</v>
      </c>
      <c r="B108" s="27">
        <f>'CNTNR COST'!G106</f>
        <v>0.0044</v>
      </c>
      <c r="C108" s="26">
        <f>CREAMER_ADDON/2</f>
        <v>0.0141</v>
      </c>
      <c r="D108" s="26"/>
      <c r="E108" s="26">
        <f>ROUND(E100/64,4)</f>
        <v>0</v>
      </c>
      <c r="F108" s="26">
        <f>ROUND(F100/64,4)</f>
        <v>0</v>
      </c>
      <c r="G108" s="26">
        <f t="shared" si="80"/>
        <v>0.0185</v>
      </c>
      <c r="H108" s="26">
        <f t="shared" si="66"/>
        <v>0.0006709844559585482</v>
      </c>
      <c r="I108" s="26">
        <f t="shared" si="81"/>
        <v>0.0192</v>
      </c>
      <c r="J108" s="26">
        <f>+J105/8</f>
        <v>-0.0020375</v>
      </c>
      <c r="K108" s="26">
        <f>+K105/8</f>
        <v>0.0038125</v>
      </c>
      <c r="L108" s="165">
        <f t="shared" si="79"/>
        <v>0.021</v>
      </c>
      <c r="M108" s="30">
        <v>0.0277</v>
      </c>
      <c r="N108" s="30">
        <f t="shared" si="67"/>
        <v>0.0185</v>
      </c>
      <c r="O108" s="30">
        <f>ROUND(STORE_COST/64,4)</f>
        <v>0</v>
      </c>
      <c r="P108" s="30">
        <f t="shared" si="84"/>
        <v>0.0185</v>
      </c>
      <c r="Q108" s="30">
        <f t="shared" si="82"/>
        <v>0.0005</v>
      </c>
      <c r="R108" s="168">
        <f>IF(ROUND(Q108+P108,2)&gt;L108,ROUND(Q108+P108,2),ROUND(L108+0.005,2))</f>
        <v>0.03</v>
      </c>
      <c r="S108" s="170"/>
      <c r="T108" s="184">
        <v>0.03</v>
      </c>
      <c r="U108" s="122">
        <f>R108-T118</f>
        <v>-2.1</v>
      </c>
    </row>
    <row r="109" spans="1:21" ht="14.25" thickBot="1" thickTop="1">
      <c r="A109" s="21" t="s">
        <v>71</v>
      </c>
      <c r="B109" s="36">
        <f>'CNTNR COST'!G107</f>
        <v>0.0067</v>
      </c>
      <c r="C109" s="37">
        <f>ROUND(C108/2*3,4)</f>
        <v>0.0212</v>
      </c>
      <c r="D109" s="37"/>
      <c r="E109" s="37">
        <f>ROUND(E101/64*3,4)</f>
        <v>0</v>
      </c>
      <c r="F109" s="37">
        <f>ROUND(F101/64*3,4)</f>
        <v>0</v>
      </c>
      <c r="G109" s="37">
        <f t="shared" si="80"/>
        <v>0.0279</v>
      </c>
      <c r="H109" s="37">
        <f t="shared" si="66"/>
        <v>0.0010119170984455965</v>
      </c>
      <c r="I109" s="37">
        <f t="shared" si="81"/>
        <v>0.0289</v>
      </c>
      <c r="J109" s="37">
        <f>+J108/2*3</f>
        <v>-0.00305625</v>
      </c>
      <c r="K109" s="37">
        <f>+K108/2*3</f>
        <v>0.00571875</v>
      </c>
      <c r="L109" s="166">
        <f t="shared" si="79"/>
        <v>0.0316</v>
      </c>
      <c r="M109" s="42">
        <v>0.0413</v>
      </c>
      <c r="N109" s="42">
        <f t="shared" si="67"/>
        <v>0.0278</v>
      </c>
      <c r="O109" s="42">
        <f>O107*2</f>
        <v>0</v>
      </c>
      <c r="P109" s="42">
        <f t="shared" si="84"/>
        <v>0.0278</v>
      </c>
      <c r="Q109" s="42">
        <f t="shared" si="82"/>
        <v>0.0008</v>
      </c>
      <c r="R109" s="169">
        <f>IF(ROUND(Q109+P109,2)&gt;L109,ROUND(Q109+P109,2),ROUND(L109+0.005,2))</f>
        <v>0.04</v>
      </c>
      <c r="S109" s="170"/>
      <c r="T109" s="185">
        <v>0.05</v>
      </c>
      <c r="U109" s="123">
        <f>R109-T119</f>
        <v>0.04</v>
      </c>
    </row>
    <row r="110" spans="1:20" ht="14.25" thickBot="1" thickTop="1">
      <c r="A110" s="38" t="s">
        <v>72</v>
      </c>
      <c r="L110" s="43"/>
      <c r="M110" s="43"/>
      <c r="N110" s="43"/>
      <c r="O110" s="43"/>
      <c r="P110" s="43"/>
      <c r="Q110" s="43"/>
      <c r="R110" s="170"/>
      <c r="S110" s="170"/>
      <c r="T110" s="186"/>
    </row>
    <row r="111" spans="1:21" ht="14.25" thickBot="1" thickTop="1">
      <c r="A111" s="21" t="s">
        <v>63</v>
      </c>
      <c r="B111" s="35">
        <f>'CNTNR COST'!G109</f>
        <v>0.568</v>
      </c>
      <c r="C111" s="25">
        <f>C112*2</f>
        <v>0.3938</v>
      </c>
      <c r="D111" s="25">
        <f>+$D$10</f>
        <v>-0.0419</v>
      </c>
      <c r="E111" s="39">
        <f>ROUND($E$11*2,4)</f>
        <v>0</v>
      </c>
      <c r="F111" s="39">
        <f>ROUND($F$11*2,4)</f>
        <v>-0.0026</v>
      </c>
      <c r="G111" s="25">
        <f>ROUND(SUM(B111:F111),4)</f>
        <v>0.9173</v>
      </c>
      <c r="H111" s="25">
        <f t="shared" si="66"/>
        <v>0.03326994818652851</v>
      </c>
      <c r="I111" s="25">
        <f>ROUND(G111+H111,4)</f>
        <v>0.9506</v>
      </c>
      <c r="J111" s="25">
        <f>ROUND(J$11*2,4)</f>
        <v>-0.261</v>
      </c>
      <c r="K111" s="25">
        <f>ROUND(K$11*2,4)</f>
        <v>0.4874</v>
      </c>
      <c r="L111" s="164">
        <f aca="true" t="shared" si="85" ref="L111:L118">ROUND(SUM(I111:K111),4)</f>
        <v>1.177</v>
      </c>
      <c r="M111" s="41">
        <v>4.1608</v>
      </c>
      <c r="N111" s="41">
        <f t="shared" si="67"/>
        <v>1.0358</v>
      </c>
      <c r="O111" s="41">
        <f>ROUND(2*STORE_COST,4)</f>
        <v>0</v>
      </c>
      <c r="P111" s="41">
        <f>N111+O111</f>
        <v>1.0358</v>
      </c>
      <c r="Q111" s="41">
        <f aca="true" t="shared" si="86" ref="Q111:Q145">ROUND(P111/(1-RETAIL_PRFT)-P111,4)</f>
        <v>0.0287</v>
      </c>
      <c r="R111" s="167">
        <f aca="true" t="shared" si="87" ref="R111:R145">IF(ROUND(Q111+P111,2)&gt;L111,ROUND(Q111+P111,2),ROUND(L111+0.005,2))</f>
        <v>1.18</v>
      </c>
      <c r="S111" s="170"/>
      <c r="T111" s="183">
        <v>4.19</v>
      </c>
      <c r="U111" s="121">
        <f>R111-T121</f>
        <v>-1.51</v>
      </c>
    </row>
    <row r="112" spans="1:21" ht="14.25" thickBot="1" thickTop="1">
      <c r="A112" s="21" t="s">
        <v>14</v>
      </c>
      <c r="B112" s="27">
        <f>'CNTNR COST'!G110</f>
        <v>0.284</v>
      </c>
      <c r="C112" s="26">
        <f>CREAM_ADDON</f>
        <v>0.1969</v>
      </c>
      <c r="D112" s="26">
        <f>+$D$11</f>
        <v>0.033</v>
      </c>
      <c r="E112" s="31">
        <f>ENERGY_ADDON</f>
        <v>0</v>
      </c>
      <c r="F112" s="31">
        <f>ROUND(COST_UPDATE_ADJ,4)</f>
        <v>-0.0013</v>
      </c>
      <c r="G112" s="26">
        <f aca="true" t="shared" si="88" ref="G112:G118">ROUND(SUM(B112:F112),4)</f>
        <v>0.5126</v>
      </c>
      <c r="H112" s="26">
        <f t="shared" si="66"/>
        <v>0.0185917098445596</v>
      </c>
      <c r="I112" s="26">
        <f aca="true" t="shared" si="89" ref="I112:I118">ROUND(G112+H112,4)</f>
        <v>0.5312</v>
      </c>
      <c r="J112" s="26">
        <f>$J$11</f>
        <v>-0.1305</v>
      </c>
      <c r="K112" s="26">
        <f>$K$11</f>
        <v>0.2437</v>
      </c>
      <c r="L112" s="165">
        <f t="shared" si="85"/>
        <v>0.6444</v>
      </c>
      <c r="M112" s="30">
        <v>2.1266</v>
      </c>
      <c r="N112" s="30">
        <f t="shared" si="67"/>
        <v>0.5671</v>
      </c>
      <c r="O112" s="30">
        <f>STORE_COST</f>
        <v>0</v>
      </c>
      <c r="P112" s="30">
        <f aca="true" t="shared" si="90" ref="P112:P118">O112+N112</f>
        <v>0.5671</v>
      </c>
      <c r="Q112" s="30">
        <f t="shared" si="86"/>
        <v>0.0157</v>
      </c>
      <c r="R112" s="168">
        <f t="shared" si="87"/>
        <v>0.65</v>
      </c>
      <c r="S112" s="170"/>
      <c r="T112" s="184">
        <v>2.14</v>
      </c>
      <c r="U112" s="122">
        <f>R112-T122</f>
        <v>-0.7299999999999999</v>
      </c>
    </row>
    <row r="113" spans="1:21" ht="14.25" thickBot="1" thickTop="1">
      <c r="A113" s="21" t="s">
        <v>15</v>
      </c>
      <c r="B113" s="27">
        <f>'CNTNR COST'!G111</f>
        <v>0.142</v>
      </c>
      <c r="C113" s="26">
        <f>ROUND(C112/2,4)</f>
        <v>0.0985</v>
      </c>
      <c r="D113" s="26">
        <f>+$D$12</f>
        <v>0.0755</v>
      </c>
      <c r="E113" s="31">
        <f>ROUND($E$11/2,4)</f>
        <v>0</v>
      </c>
      <c r="F113" s="31">
        <f>ROUND($F$11/2,4)</f>
        <v>-0.0007</v>
      </c>
      <c r="G113" s="26">
        <f t="shared" si="88"/>
        <v>0.3153</v>
      </c>
      <c r="H113" s="26">
        <f t="shared" si="66"/>
        <v>0.011435751295336805</v>
      </c>
      <c r="I113" s="26">
        <f t="shared" si="89"/>
        <v>0.3267</v>
      </c>
      <c r="J113" s="26">
        <f>ROUND(J$11/2,4)</f>
        <v>-0.0653</v>
      </c>
      <c r="K113" s="26">
        <f>ROUND(K$11/2,4)</f>
        <v>0.1219</v>
      </c>
      <c r="L113" s="165">
        <f t="shared" si="85"/>
        <v>0.3833</v>
      </c>
      <c r="M113" s="30">
        <v>1.0952</v>
      </c>
      <c r="N113" s="30">
        <f t="shared" si="67"/>
        <v>0.3373</v>
      </c>
      <c r="O113" s="30">
        <f>ROUND(STORE_COST/2,4)</f>
        <v>0</v>
      </c>
      <c r="P113" s="30">
        <f t="shared" si="90"/>
        <v>0.3373</v>
      </c>
      <c r="Q113" s="30">
        <f t="shared" si="86"/>
        <v>0.0094</v>
      </c>
      <c r="R113" s="168">
        <f t="shared" si="87"/>
        <v>0.39</v>
      </c>
      <c r="S113" s="170"/>
      <c r="T113" s="184">
        <v>1.11</v>
      </c>
      <c r="U113" s="122">
        <f>R113-T124</f>
        <v>-0.5</v>
      </c>
    </row>
    <row r="114" spans="1:21" ht="14.25" thickBot="1" thickTop="1">
      <c r="A114" s="21" t="s">
        <v>162</v>
      </c>
      <c r="B114" s="27">
        <f>'CNTNR COST'!G112</f>
        <v>0.1528</v>
      </c>
      <c r="C114" s="26">
        <f>ROUND(C112/32*12,4)</f>
        <v>0.0738</v>
      </c>
      <c r="D114" s="30">
        <f>+$D$13</f>
        <v>0.0124</v>
      </c>
      <c r="E114" s="31">
        <f>ROUND($E$11/32*12,4)</f>
        <v>0</v>
      </c>
      <c r="F114" s="31">
        <f>ROUND($F$11/32*12,4)</f>
        <v>-0.0005</v>
      </c>
      <c r="G114" s="26">
        <f t="shared" si="88"/>
        <v>0.2385</v>
      </c>
      <c r="H114" s="26">
        <f t="shared" si="66"/>
        <v>0.00865025906735753</v>
      </c>
      <c r="I114" s="26">
        <f t="shared" si="89"/>
        <v>0.2472</v>
      </c>
      <c r="J114" s="26">
        <f>ROUND(J112/32*12,4)</f>
        <v>-0.0489</v>
      </c>
      <c r="K114" s="26">
        <f>ROUND(K112/32*12,4)</f>
        <v>0.0914</v>
      </c>
      <c r="L114" s="165">
        <f t="shared" si="85"/>
        <v>0.2897</v>
      </c>
      <c r="M114" s="30"/>
      <c r="N114" s="30">
        <f t="shared" si="67"/>
        <v>0.2549</v>
      </c>
      <c r="O114" s="30">
        <f>ROUND(STORE_COST/32*12,4)</f>
        <v>0</v>
      </c>
      <c r="P114" s="115">
        <f t="shared" si="90"/>
        <v>0.2549</v>
      </c>
      <c r="Q114" s="30">
        <f t="shared" si="86"/>
        <v>0.0071</v>
      </c>
      <c r="R114" s="168">
        <f t="shared" si="87"/>
        <v>0.29</v>
      </c>
      <c r="S114" s="170"/>
      <c r="T114" s="172"/>
      <c r="U114" s="122"/>
    </row>
    <row r="115" spans="1:21" ht="14.25" thickBot="1" thickTop="1">
      <c r="A115" s="21" t="s">
        <v>64</v>
      </c>
      <c r="B115" s="27">
        <f>'CNTNR COST'!G113</f>
        <v>0.1432</v>
      </c>
      <c r="C115" s="26">
        <f>ROUND(C112/32*10,4)</f>
        <v>0.0615</v>
      </c>
      <c r="D115" s="26">
        <f>+$D$14</f>
        <v>0.0103</v>
      </c>
      <c r="E115" s="31">
        <f>ROUND($E$11/32*10,4)</f>
        <v>0</v>
      </c>
      <c r="F115" s="31">
        <f>ROUND($F$11/32*10,4)</f>
        <v>-0.0004</v>
      </c>
      <c r="G115" s="26">
        <f t="shared" si="88"/>
        <v>0.2146</v>
      </c>
      <c r="H115" s="26">
        <f t="shared" si="66"/>
        <v>0.007783419689119192</v>
      </c>
      <c r="I115" s="26">
        <f t="shared" si="89"/>
        <v>0.2224</v>
      </c>
      <c r="J115" s="26">
        <f>ROUND(J$11/3,4)</f>
        <v>-0.0435</v>
      </c>
      <c r="K115" s="26">
        <f>ROUND(K$11/3,4)</f>
        <v>0.0812</v>
      </c>
      <c r="L115" s="165">
        <f t="shared" si="85"/>
        <v>0.2601</v>
      </c>
      <c r="M115" s="30">
        <v>0.7122</v>
      </c>
      <c r="N115" s="30">
        <f t="shared" si="67"/>
        <v>0.2289</v>
      </c>
      <c r="O115" s="30">
        <f>ROUND(STORE_COST/32*10,4)</f>
        <v>0</v>
      </c>
      <c r="P115" s="30">
        <f t="shared" si="90"/>
        <v>0.2289</v>
      </c>
      <c r="Q115" s="30">
        <f t="shared" si="86"/>
        <v>0.0064</v>
      </c>
      <c r="R115" s="168">
        <f t="shared" si="87"/>
        <v>0.27</v>
      </c>
      <c r="S115" s="170"/>
      <c r="T115" s="184">
        <v>0.72</v>
      </c>
      <c r="U115" s="122">
        <f>R115-T125</f>
        <v>-0.42999999999999994</v>
      </c>
    </row>
    <row r="116" spans="1:21" ht="14.25" thickBot="1" thickTop="1">
      <c r="A116" s="21" t="s">
        <v>65</v>
      </c>
      <c r="B116" s="27">
        <f>'CNTNR COST'!G114</f>
        <v>0.071</v>
      </c>
      <c r="C116" s="26">
        <f>ROUND(C112/4,4)</f>
        <v>0.0492</v>
      </c>
      <c r="D116" s="26">
        <f>+$D$15</f>
        <v>0.0367</v>
      </c>
      <c r="E116" s="31">
        <f>ROUND($E$11/4,4)</f>
        <v>0</v>
      </c>
      <c r="F116" s="31">
        <f>ROUND($F$11/4,4)</f>
        <v>-0.0003</v>
      </c>
      <c r="G116" s="26">
        <f t="shared" si="88"/>
        <v>0.1566</v>
      </c>
      <c r="H116" s="26">
        <f t="shared" si="66"/>
        <v>0.005679792746113993</v>
      </c>
      <c r="I116" s="26">
        <f t="shared" si="89"/>
        <v>0.1623</v>
      </c>
      <c r="J116" s="26">
        <f>ROUND(J$11/4,4)</f>
        <v>-0.0326</v>
      </c>
      <c r="K116" s="26">
        <f>ROUND(K$11/4,4)</f>
        <v>0.0609</v>
      </c>
      <c r="L116" s="165">
        <f t="shared" si="85"/>
        <v>0.1906</v>
      </c>
      <c r="M116" s="30">
        <v>0.5576</v>
      </c>
      <c r="N116" s="30">
        <f t="shared" si="67"/>
        <v>0.1677</v>
      </c>
      <c r="O116" s="30">
        <f>ROUND(STORE_COST/4,4)</f>
        <v>0</v>
      </c>
      <c r="P116" s="30">
        <f t="shared" si="90"/>
        <v>0.1677</v>
      </c>
      <c r="Q116" s="30">
        <f t="shared" si="86"/>
        <v>0.0047</v>
      </c>
      <c r="R116" s="168">
        <f t="shared" si="87"/>
        <v>0.2</v>
      </c>
      <c r="S116" s="170"/>
      <c r="T116" s="184">
        <v>0.57</v>
      </c>
      <c r="U116" s="122">
        <f>R116-T126</f>
        <v>-0.16999999999999998</v>
      </c>
    </row>
    <row r="117" spans="1:21" ht="14.25" thickBot="1" thickTop="1">
      <c r="A117" s="21" t="s">
        <v>66</v>
      </c>
      <c r="B117" s="27">
        <f>'CNTNR COST'!G115</f>
        <v>0.0618</v>
      </c>
      <c r="C117" s="26">
        <f>ROUND(C112/8,4)</f>
        <v>0.0246</v>
      </c>
      <c r="D117" s="26">
        <f>+$D$16</f>
        <v>0.0373</v>
      </c>
      <c r="E117" s="31">
        <f>ROUND($E$11/8,4)</f>
        <v>0</v>
      </c>
      <c r="F117" s="31">
        <f>ROUND($F$11/8,4)</f>
        <v>-0.0002</v>
      </c>
      <c r="G117" s="26">
        <f t="shared" si="88"/>
        <v>0.1235</v>
      </c>
      <c r="H117" s="26">
        <f t="shared" si="66"/>
        <v>0.0044792746113989645</v>
      </c>
      <c r="I117" s="26">
        <f t="shared" si="89"/>
        <v>0.128</v>
      </c>
      <c r="J117" s="26">
        <f>ROUND(J$11/8,4)</f>
        <v>-0.0163</v>
      </c>
      <c r="K117" s="26">
        <f>ROUND(K$11/8,4)</f>
        <v>0.0305</v>
      </c>
      <c r="L117" s="165">
        <f t="shared" si="85"/>
        <v>0.1422</v>
      </c>
      <c r="M117" s="30">
        <v>0.2963</v>
      </c>
      <c r="N117" s="30">
        <f t="shared" si="67"/>
        <v>0.1251</v>
      </c>
      <c r="O117" s="30">
        <f>ROUND(STORE_COST/8,4)</f>
        <v>0</v>
      </c>
      <c r="P117" s="30">
        <f t="shared" si="90"/>
        <v>0.1251</v>
      </c>
      <c r="Q117" s="30">
        <f t="shared" si="86"/>
        <v>0.0035</v>
      </c>
      <c r="R117" s="168">
        <f t="shared" si="87"/>
        <v>0.15</v>
      </c>
      <c r="S117" s="170"/>
      <c r="T117" s="184">
        <v>0.3</v>
      </c>
      <c r="U117" s="122">
        <f>R117-T127</f>
        <v>-2.52</v>
      </c>
    </row>
    <row r="118" spans="1:21" ht="14.25" thickBot="1" thickTop="1">
      <c r="A118" s="21" t="s">
        <v>94</v>
      </c>
      <c r="B118" s="36">
        <f>'CNTNR COST'!G116</f>
        <v>0.3604</v>
      </c>
      <c r="C118" s="26">
        <f>C112</f>
        <v>0.1969</v>
      </c>
      <c r="D118" s="37">
        <f>+$D$17</f>
        <v>0.1058</v>
      </c>
      <c r="E118" s="40">
        <f>ROUND($E$11,4)</f>
        <v>0</v>
      </c>
      <c r="F118" s="40">
        <f>ROUND($F$11,4)</f>
        <v>-0.0013</v>
      </c>
      <c r="G118" s="37">
        <f t="shared" si="88"/>
        <v>0.6618</v>
      </c>
      <c r="H118" s="37">
        <f t="shared" si="66"/>
        <v>0.024003108808290152</v>
      </c>
      <c r="I118" s="37">
        <f t="shared" si="89"/>
        <v>0.6858</v>
      </c>
      <c r="J118" s="37">
        <f>J$11</f>
        <v>-0.1305</v>
      </c>
      <c r="K118" s="37">
        <f>K$11</f>
        <v>0.2437</v>
      </c>
      <c r="L118" s="166">
        <f t="shared" si="85"/>
        <v>0.799</v>
      </c>
      <c r="M118" s="42">
        <v>2.1131</v>
      </c>
      <c r="N118" s="42">
        <f t="shared" si="67"/>
        <v>0.7031</v>
      </c>
      <c r="O118" s="42">
        <f>STORE_COST</f>
        <v>0</v>
      </c>
      <c r="P118" s="42">
        <f t="shared" si="90"/>
        <v>0.7031</v>
      </c>
      <c r="Q118" s="42">
        <f t="shared" si="86"/>
        <v>0.0195</v>
      </c>
      <c r="R118" s="169">
        <f t="shared" si="87"/>
        <v>0.8</v>
      </c>
      <c r="S118" s="170"/>
      <c r="T118" s="185">
        <v>2.13</v>
      </c>
      <c r="U118" s="123">
        <f>R118-T128</f>
        <v>0.8</v>
      </c>
    </row>
    <row r="119" spans="1:20" ht="14.25" thickBot="1" thickTop="1">
      <c r="A119" s="38" t="s">
        <v>55</v>
      </c>
      <c r="L119" s="43"/>
      <c r="M119" s="43"/>
      <c r="N119" s="43"/>
      <c r="O119" s="43"/>
      <c r="P119" s="43"/>
      <c r="Q119" s="43"/>
      <c r="R119" s="170"/>
      <c r="S119" s="170"/>
      <c r="T119" s="186"/>
    </row>
    <row r="120" spans="1:21" ht="14.25" thickBot="1" thickTop="1">
      <c r="A120" s="21" t="s">
        <v>63</v>
      </c>
      <c r="B120" s="35">
        <f>'CNTNR COST'!G118</f>
        <v>0.568</v>
      </c>
      <c r="C120" s="25">
        <f>C121*2</f>
        <v>0.3938</v>
      </c>
      <c r="D120" s="25">
        <f>+$D$10</f>
        <v>-0.0419</v>
      </c>
      <c r="E120" s="39">
        <f>ROUND($E$11*2,4)</f>
        <v>0</v>
      </c>
      <c r="F120" s="39">
        <f>ROUND($F$11*2,4)</f>
        <v>-0.0026</v>
      </c>
      <c r="G120" s="25">
        <f aca="true" t="shared" si="91" ref="G120:G127">ROUND(SUM(B120:F120),4)</f>
        <v>0.9173</v>
      </c>
      <c r="H120" s="25">
        <f t="shared" si="66"/>
        <v>0.03326994818652851</v>
      </c>
      <c r="I120" s="25">
        <f aca="true" t="shared" si="92" ref="I120:I127">ROUND(G120+H120,4)</f>
        <v>0.9506</v>
      </c>
      <c r="J120" s="25">
        <f>ROUND(J$11*2,4)</f>
        <v>-0.261</v>
      </c>
      <c r="K120" s="25">
        <f>ROUND(K$11*2,4)</f>
        <v>0.4874</v>
      </c>
      <c r="L120" s="164">
        <f aca="true" t="shared" si="93" ref="L120:L127">ROUND(SUM(I120:K120),4)</f>
        <v>1.177</v>
      </c>
      <c r="M120" s="41">
        <v>5.24</v>
      </c>
      <c r="N120" s="41">
        <f t="shared" si="67"/>
        <v>1.0358</v>
      </c>
      <c r="O120" s="41">
        <f>ROUND(2*STORE_COST,4)</f>
        <v>0</v>
      </c>
      <c r="P120" s="41">
        <f>N120+O120</f>
        <v>1.0358</v>
      </c>
      <c r="Q120" s="41">
        <f t="shared" si="86"/>
        <v>0.0287</v>
      </c>
      <c r="R120" s="167">
        <f t="shared" si="87"/>
        <v>1.18</v>
      </c>
      <c r="S120" s="170"/>
      <c r="T120" s="183">
        <v>5.28</v>
      </c>
      <c r="U120" s="121">
        <f>R120-T130</f>
        <v>-1.78</v>
      </c>
    </row>
    <row r="121" spans="1:21" ht="14.25" thickBot="1" thickTop="1">
      <c r="A121" s="21" t="s">
        <v>14</v>
      </c>
      <c r="B121" s="27">
        <f>'CNTNR COST'!G119</f>
        <v>0.284</v>
      </c>
      <c r="C121" s="26">
        <f>CREAM_ADDON</f>
        <v>0.1969</v>
      </c>
      <c r="D121" s="26">
        <f>+$D$11</f>
        <v>0.033</v>
      </c>
      <c r="E121" s="31">
        <f>ENERGY_ADDON</f>
        <v>0</v>
      </c>
      <c r="F121" s="31">
        <f>ROUND(COST_UPDATE_ADJ,4)</f>
        <v>-0.0013</v>
      </c>
      <c r="G121" s="26">
        <f t="shared" si="91"/>
        <v>0.5126</v>
      </c>
      <c r="H121" s="26">
        <f t="shared" si="66"/>
        <v>0.0185917098445596</v>
      </c>
      <c r="I121" s="26">
        <f t="shared" si="92"/>
        <v>0.5312</v>
      </c>
      <c r="J121" s="26">
        <f>$J$11</f>
        <v>-0.1305</v>
      </c>
      <c r="K121" s="26">
        <f>$K$11</f>
        <v>0.2437</v>
      </c>
      <c r="L121" s="165">
        <f t="shared" si="93"/>
        <v>0.6444</v>
      </c>
      <c r="M121" s="30">
        <v>2.6662</v>
      </c>
      <c r="N121" s="30">
        <f t="shared" si="67"/>
        <v>0.5671</v>
      </c>
      <c r="O121" s="30">
        <f>STORE_COST</f>
        <v>0</v>
      </c>
      <c r="P121" s="30">
        <f aca="true" t="shared" si="94" ref="P121:P127">O121+N121</f>
        <v>0.5671</v>
      </c>
      <c r="Q121" s="30">
        <f t="shared" si="86"/>
        <v>0.0157</v>
      </c>
      <c r="R121" s="168">
        <f t="shared" si="87"/>
        <v>0.65</v>
      </c>
      <c r="S121" s="170"/>
      <c r="T121" s="184">
        <v>2.69</v>
      </c>
      <c r="U121" s="122">
        <f>R121-T131</f>
        <v>-0.86</v>
      </c>
    </row>
    <row r="122" spans="1:21" ht="14.25" thickBot="1" thickTop="1">
      <c r="A122" s="21" t="s">
        <v>15</v>
      </c>
      <c r="B122" s="27">
        <f>'CNTNR COST'!G120</f>
        <v>0.142</v>
      </c>
      <c r="C122" s="26">
        <f>ROUND(C121/2,4)</f>
        <v>0.0985</v>
      </c>
      <c r="D122" s="26">
        <f>+$D$12</f>
        <v>0.0755</v>
      </c>
      <c r="E122" s="31">
        <f>ROUND($E$11/2,4)</f>
        <v>0</v>
      </c>
      <c r="F122" s="31">
        <f>ROUND($F$11/2,4)</f>
        <v>-0.0007</v>
      </c>
      <c r="G122" s="26">
        <f t="shared" si="91"/>
        <v>0.3153</v>
      </c>
      <c r="H122" s="26">
        <f t="shared" si="66"/>
        <v>0.011435751295336805</v>
      </c>
      <c r="I122" s="26">
        <f t="shared" si="92"/>
        <v>0.3267</v>
      </c>
      <c r="J122" s="26">
        <f>ROUND(J$11/2,4)</f>
        <v>-0.0653</v>
      </c>
      <c r="K122" s="26">
        <f>ROUND(K$11/2,4)</f>
        <v>0.1219</v>
      </c>
      <c r="L122" s="165">
        <f t="shared" si="93"/>
        <v>0.3833</v>
      </c>
      <c r="M122" s="30">
        <v>1.365</v>
      </c>
      <c r="N122" s="30">
        <f t="shared" si="67"/>
        <v>0.3373</v>
      </c>
      <c r="O122" s="30">
        <f>ROUND(STORE_COST/2,4)</f>
        <v>0</v>
      </c>
      <c r="P122" s="30">
        <f t="shared" si="94"/>
        <v>0.3373</v>
      </c>
      <c r="Q122" s="30">
        <f t="shared" si="86"/>
        <v>0.0094</v>
      </c>
      <c r="R122" s="168">
        <f t="shared" si="87"/>
        <v>0.39</v>
      </c>
      <c r="S122" s="170"/>
      <c r="T122" s="184">
        <v>1.38</v>
      </c>
      <c r="U122" s="122">
        <f>R122-T133</f>
        <v>-0.58</v>
      </c>
    </row>
    <row r="123" spans="1:21" ht="14.25" thickBot="1" thickTop="1">
      <c r="A123" s="21" t="s">
        <v>162</v>
      </c>
      <c r="B123" s="27">
        <f>'CNTNR COST'!G121</f>
        <v>0.1528</v>
      </c>
      <c r="C123" s="26">
        <f>ROUND(C121/32*12,4)</f>
        <v>0.0738</v>
      </c>
      <c r="D123" s="30">
        <f>+$D$13</f>
        <v>0.0124</v>
      </c>
      <c r="E123" s="31">
        <f>ROUND($E$11/32*12,4)</f>
        <v>0</v>
      </c>
      <c r="F123" s="31">
        <f>ROUND($F$11/32*12,4)</f>
        <v>-0.0005</v>
      </c>
      <c r="G123" s="26">
        <f t="shared" si="91"/>
        <v>0.2385</v>
      </c>
      <c r="H123" s="26">
        <f t="shared" si="66"/>
        <v>0.00865025906735753</v>
      </c>
      <c r="I123" s="26">
        <f t="shared" si="92"/>
        <v>0.2472</v>
      </c>
      <c r="J123" s="26">
        <f>ROUND(J121/32*12,4)</f>
        <v>-0.0489</v>
      </c>
      <c r="K123" s="26">
        <f>ROUND(K121/32*12,4)</f>
        <v>0.0914</v>
      </c>
      <c r="L123" s="165">
        <f t="shared" si="93"/>
        <v>0.2897</v>
      </c>
      <c r="M123" s="30"/>
      <c r="N123" s="30">
        <f t="shared" si="67"/>
        <v>0.2549</v>
      </c>
      <c r="O123" s="30">
        <f>ROUND(STORE_COST/32*12,4)</f>
        <v>0</v>
      </c>
      <c r="P123" s="115">
        <f t="shared" si="94"/>
        <v>0.2549</v>
      </c>
      <c r="Q123" s="30">
        <f t="shared" si="86"/>
        <v>0.0071</v>
      </c>
      <c r="R123" s="168">
        <f t="shared" si="87"/>
        <v>0.29</v>
      </c>
      <c r="S123" s="170"/>
      <c r="T123" s="172"/>
      <c r="U123" s="122"/>
    </row>
    <row r="124" spans="1:21" ht="14.25" thickBot="1" thickTop="1">
      <c r="A124" s="21" t="s">
        <v>64</v>
      </c>
      <c r="B124" s="27">
        <f>'CNTNR COST'!G122</f>
        <v>0.1432</v>
      </c>
      <c r="C124" s="26">
        <f>ROUND(C121/32*10,4)</f>
        <v>0.0615</v>
      </c>
      <c r="D124" s="26">
        <f>+$D$14</f>
        <v>0.0103</v>
      </c>
      <c r="E124" s="31">
        <f>ROUND($E$11/32*10,4)</f>
        <v>0</v>
      </c>
      <c r="F124" s="31">
        <f>ROUND($F$11/32*10,4)</f>
        <v>-0.0004</v>
      </c>
      <c r="G124" s="26">
        <f t="shared" si="91"/>
        <v>0.2146</v>
      </c>
      <c r="H124" s="26">
        <f t="shared" si="66"/>
        <v>0.007783419689119192</v>
      </c>
      <c r="I124" s="26">
        <f t="shared" si="92"/>
        <v>0.2224</v>
      </c>
      <c r="J124" s="26">
        <f>ROUND(J$11/3,4)</f>
        <v>-0.0435</v>
      </c>
      <c r="K124" s="26">
        <f>ROUND(K$11/3,4)</f>
        <v>0.0812</v>
      </c>
      <c r="L124" s="165">
        <f t="shared" si="93"/>
        <v>0.2601</v>
      </c>
      <c r="M124" s="30">
        <v>0.8808</v>
      </c>
      <c r="N124" s="30">
        <f t="shared" si="67"/>
        <v>0.2289</v>
      </c>
      <c r="O124" s="30">
        <f>ROUND(STORE_COST/32*10,4)</f>
        <v>0</v>
      </c>
      <c r="P124" s="30">
        <f t="shared" si="94"/>
        <v>0.2289</v>
      </c>
      <c r="Q124" s="30">
        <f t="shared" si="86"/>
        <v>0.0064</v>
      </c>
      <c r="R124" s="168">
        <f t="shared" si="87"/>
        <v>0.27</v>
      </c>
      <c r="S124" s="170"/>
      <c r="T124" s="184">
        <v>0.89</v>
      </c>
      <c r="U124" s="122">
        <f>R124-T134</f>
        <v>-0.5</v>
      </c>
    </row>
    <row r="125" spans="1:21" ht="14.25" thickBot="1" thickTop="1">
      <c r="A125" s="21" t="s">
        <v>65</v>
      </c>
      <c r="B125" s="27">
        <f>'CNTNR COST'!G123</f>
        <v>0.071</v>
      </c>
      <c r="C125" s="26">
        <f>ROUND(C121/4,4)</f>
        <v>0.0492</v>
      </c>
      <c r="D125" s="26">
        <f>+$D$15</f>
        <v>0.0367</v>
      </c>
      <c r="E125" s="31">
        <f>ROUND($E$11/4,4)</f>
        <v>0</v>
      </c>
      <c r="F125" s="31">
        <f>ROUND($F$11/4,4)</f>
        <v>-0.0003</v>
      </c>
      <c r="G125" s="26">
        <f t="shared" si="91"/>
        <v>0.1566</v>
      </c>
      <c r="H125" s="26">
        <f t="shared" si="66"/>
        <v>0.005679792746113993</v>
      </c>
      <c r="I125" s="26">
        <f t="shared" si="92"/>
        <v>0.1623</v>
      </c>
      <c r="J125" s="26">
        <f>ROUND(J$11/4,4)</f>
        <v>-0.0326</v>
      </c>
      <c r="K125" s="26">
        <f>ROUND(K$11/4,4)</f>
        <v>0.0609</v>
      </c>
      <c r="L125" s="165">
        <f t="shared" si="93"/>
        <v>0.1906</v>
      </c>
      <c r="M125" s="30">
        <v>0.6925</v>
      </c>
      <c r="N125" s="30">
        <f t="shared" si="67"/>
        <v>0.1677</v>
      </c>
      <c r="O125" s="30">
        <f>ROUND(STORE_COST/4,4)</f>
        <v>0</v>
      </c>
      <c r="P125" s="30">
        <f t="shared" si="94"/>
        <v>0.1677</v>
      </c>
      <c r="Q125" s="30">
        <f t="shared" si="86"/>
        <v>0.0047</v>
      </c>
      <c r="R125" s="168">
        <f t="shared" si="87"/>
        <v>0.2</v>
      </c>
      <c r="S125" s="170"/>
      <c r="T125" s="184">
        <v>0.7</v>
      </c>
      <c r="U125" s="122">
        <f>R125-T135</f>
        <v>-0.2</v>
      </c>
    </row>
    <row r="126" spans="1:21" ht="14.25" thickBot="1" thickTop="1">
      <c r="A126" s="21" t="s">
        <v>66</v>
      </c>
      <c r="B126" s="27">
        <f>'CNTNR COST'!G124</f>
        <v>0.0618</v>
      </c>
      <c r="C126" s="26">
        <f>ROUND(C121/8,4)</f>
        <v>0.0246</v>
      </c>
      <c r="D126" s="26">
        <f>+$D$16</f>
        <v>0.0373</v>
      </c>
      <c r="E126" s="31">
        <f>ROUND($E$11/8,4)</f>
        <v>0</v>
      </c>
      <c r="F126" s="31">
        <f>ROUND($F$11/8,4)</f>
        <v>-0.0002</v>
      </c>
      <c r="G126" s="26">
        <f t="shared" si="91"/>
        <v>0.1235</v>
      </c>
      <c r="H126" s="26">
        <f t="shared" si="66"/>
        <v>0.0044792746113989645</v>
      </c>
      <c r="I126" s="26">
        <f t="shared" si="92"/>
        <v>0.128</v>
      </c>
      <c r="J126" s="26">
        <f>ROUND(J$11/8,4)</f>
        <v>-0.0163</v>
      </c>
      <c r="K126" s="26">
        <f>ROUND(K$11/8,4)</f>
        <v>0.0305</v>
      </c>
      <c r="L126" s="165">
        <f t="shared" si="93"/>
        <v>0.1422</v>
      </c>
      <c r="M126" s="30">
        <v>0.3638</v>
      </c>
      <c r="N126" s="30">
        <f t="shared" si="67"/>
        <v>0.1251</v>
      </c>
      <c r="O126" s="30">
        <f>ROUND(STORE_COST/8,4)</f>
        <v>0</v>
      </c>
      <c r="P126" s="30">
        <f t="shared" si="94"/>
        <v>0.1251</v>
      </c>
      <c r="Q126" s="30">
        <f t="shared" si="86"/>
        <v>0.0035</v>
      </c>
      <c r="R126" s="168">
        <f t="shared" si="87"/>
        <v>0.15</v>
      </c>
      <c r="S126" s="170"/>
      <c r="T126" s="184">
        <v>0.37</v>
      </c>
      <c r="U126" s="122">
        <f>R126-T136</f>
        <v>-2.79</v>
      </c>
    </row>
    <row r="127" spans="1:21" ht="14.25" thickBot="1" thickTop="1">
      <c r="A127" s="21" t="s">
        <v>94</v>
      </c>
      <c r="B127" s="36">
        <f>'CNTNR COST'!G125</f>
        <v>0.3604</v>
      </c>
      <c r="C127" s="26">
        <f>C121</f>
        <v>0.1969</v>
      </c>
      <c r="D127" s="37">
        <f>+$D$17</f>
        <v>0.1058</v>
      </c>
      <c r="E127" s="40">
        <f>ROUND($E$11,4)</f>
        <v>0</v>
      </c>
      <c r="F127" s="40">
        <f>ROUND($F$11,4)</f>
        <v>-0.0013</v>
      </c>
      <c r="G127" s="37">
        <f t="shared" si="91"/>
        <v>0.6618</v>
      </c>
      <c r="H127" s="37">
        <f t="shared" si="66"/>
        <v>0.024003108808290152</v>
      </c>
      <c r="I127" s="37">
        <f t="shared" si="92"/>
        <v>0.6858</v>
      </c>
      <c r="J127" s="37">
        <f>J$11</f>
        <v>-0.1305</v>
      </c>
      <c r="K127" s="37">
        <f>K$11</f>
        <v>0.2437</v>
      </c>
      <c r="L127" s="166">
        <f t="shared" si="93"/>
        <v>0.799</v>
      </c>
      <c r="M127" s="42">
        <v>2.6527</v>
      </c>
      <c r="N127" s="42">
        <f t="shared" si="67"/>
        <v>0.7031</v>
      </c>
      <c r="O127" s="42">
        <f>STORE_COST</f>
        <v>0</v>
      </c>
      <c r="P127" s="42">
        <f t="shared" si="94"/>
        <v>0.7031</v>
      </c>
      <c r="Q127" s="42">
        <f t="shared" si="86"/>
        <v>0.0195</v>
      </c>
      <c r="R127" s="169">
        <f t="shared" si="87"/>
        <v>0.8</v>
      </c>
      <c r="S127" s="170"/>
      <c r="T127" s="185">
        <v>2.67</v>
      </c>
      <c r="U127" s="123">
        <f>R127-T137</f>
        <v>0.8</v>
      </c>
    </row>
    <row r="128" spans="1:20" ht="14.25" thickBot="1" thickTop="1">
      <c r="A128" s="38" t="s">
        <v>56</v>
      </c>
      <c r="L128" s="43"/>
      <c r="M128" s="43"/>
      <c r="N128" s="43"/>
      <c r="O128" s="43"/>
      <c r="P128" s="43"/>
      <c r="Q128" s="43"/>
      <c r="R128" s="170"/>
      <c r="S128" s="170"/>
      <c r="T128" s="186"/>
    </row>
    <row r="129" spans="1:21" ht="14.25" thickBot="1" thickTop="1">
      <c r="A129" s="21" t="s">
        <v>63</v>
      </c>
      <c r="B129" s="35">
        <f>'CNTNR COST'!G127</f>
        <v>0.568</v>
      </c>
      <c r="C129" s="25">
        <f>C130*2</f>
        <v>0.3938</v>
      </c>
      <c r="D129" s="25">
        <f>+$D$10</f>
        <v>-0.0419</v>
      </c>
      <c r="E129" s="39">
        <f>ROUND($E$11*2,4)</f>
        <v>0</v>
      </c>
      <c r="F129" s="39">
        <f>ROUND($F$11*2,4)</f>
        <v>-0.0026</v>
      </c>
      <c r="G129" s="25">
        <f aca="true" t="shared" si="95" ref="G129:G136">ROUND(SUM(B129:F129),4)</f>
        <v>0.9173</v>
      </c>
      <c r="H129" s="25">
        <f t="shared" si="66"/>
        <v>0.03326994818652851</v>
      </c>
      <c r="I129" s="25">
        <f aca="true" t="shared" si="96" ref="I129:I136">ROUND(G129+H129,4)</f>
        <v>0.9506</v>
      </c>
      <c r="J129" s="25">
        <f>ROUND(J$11*2,4)</f>
        <v>-0.261</v>
      </c>
      <c r="K129" s="25">
        <f>ROUND(K$11*2,4)</f>
        <v>0.4874</v>
      </c>
      <c r="L129" s="164">
        <f aca="true" t="shared" si="97" ref="L129:L136">ROUND(SUM(I129:K129),4)</f>
        <v>1.177</v>
      </c>
      <c r="M129" s="41">
        <v>5.7741</v>
      </c>
      <c r="N129" s="41">
        <f t="shared" si="67"/>
        <v>1.0358</v>
      </c>
      <c r="O129" s="41">
        <f>ROUND(2*STORE_COST,4)</f>
        <v>0</v>
      </c>
      <c r="P129" s="41">
        <f>N129+O129</f>
        <v>1.0358</v>
      </c>
      <c r="Q129" s="41">
        <f t="shared" si="86"/>
        <v>0.0287</v>
      </c>
      <c r="R129" s="167">
        <f t="shared" si="87"/>
        <v>1.18</v>
      </c>
      <c r="S129" s="170"/>
      <c r="T129" s="183">
        <v>5.82</v>
      </c>
      <c r="U129" s="121">
        <f>R129-T139</f>
        <v>-0.71</v>
      </c>
    </row>
    <row r="130" spans="1:21" ht="14.25" thickBot="1" thickTop="1">
      <c r="A130" s="21" t="s">
        <v>14</v>
      </c>
      <c r="B130" s="27">
        <f>'CNTNR COST'!G128</f>
        <v>0.284</v>
      </c>
      <c r="C130" s="26">
        <f>CREAM_ADDON</f>
        <v>0.1969</v>
      </c>
      <c r="D130" s="26">
        <f>+$D$11</f>
        <v>0.033</v>
      </c>
      <c r="E130" s="31">
        <f>ENERGY_ADDON</f>
        <v>0</v>
      </c>
      <c r="F130" s="31">
        <f>ROUND(COST_UPDATE_ADJ,4)</f>
        <v>-0.0013</v>
      </c>
      <c r="G130" s="26">
        <f t="shared" si="95"/>
        <v>0.5126</v>
      </c>
      <c r="H130" s="26">
        <f t="shared" si="66"/>
        <v>0.0185917098445596</v>
      </c>
      <c r="I130" s="26">
        <f t="shared" si="96"/>
        <v>0.5312</v>
      </c>
      <c r="J130" s="26">
        <f>$J$11</f>
        <v>-0.1305</v>
      </c>
      <c r="K130" s="26">
        <f>$K$11</f>
        <v>0.2437</v>
      </c>
      <c r="L130" s="165">
        <f t="shared" si="97"/>
        <v>0.6444</v>
      </c>
      <c r="M130" s="30">
        <v>2.9333</v>
      </c>
      <c r="N130" s="30">
        <f t="shared" si="67"/>
        <v>0.5671</v>
      </c>
      <c r="O130" s="30">
        <f>STORE_COST</f>
        <v>0</v>
      </c>
      <c r="P130" s="30">
        <f aca="true" t="shared" si="98" ref="P130:P136">O130+N130</f>
        <v>0.5671</v>
      </c>
      <c r="Q130" s="30">
        <f t="shared" si="86"/>
        <v>0.0157</v>
      </c>
      <c r="R130" s="168">
        <f t="shared" si="87"/>
        <v>0.65</v>
      </c>
      <c r="S130" s="170"/>
      <c r="T130" s="184">
        <v>2.96</v>
      </c>
      <c r="U130" s="122">
        <f>R130-T140</f>
        <v>-0.30999999999999994</v>
      </c>
    </row>
    <row r="131" spans="1:21" ht="14.25" thickBot="1" thickTop="1">
      <c r="A131" s="21" t="s">
        <v>15</v>
      </c>
      <c r="B131" s="27">
        <f>'CNTNR COST'!G129</f>
        <v>0.142</v>
      </c>
      <c r="C131" s="26">
        <f>ROUND(C130/2,4)</f>
        <v>0.0985</v>
      </c>
      <c r="D131" s="26">
        <f>+$D$12</f>
        <v>0.0755</v>
      </c>
      <c r="E131" s="31">
        <f>ROUND($E$11/2,4)</f>
        <v>0</v>
      </c>
      <c r="F131" s="31">
        <f>ROUND($F$11/2,4)</f>
        <v>-0.0007</v>
      </c>
      <c r="G131" s="26">
        <f t="shared" si="95"/>
        <v>0.3153</v>
      </c>
      <c r="H131" s="26">
        <f t="shared" si="66"/>
        <v>0.011435751295336805</v>
      </c>
      <c r="I131" s="26">
        <f t="shared" si="96"/>
        <v>0.3267</v>
      </c>
      <c r="J131" s="26">
        <f>ROUND(J$11/2,4)</f>
        <v>-0.0653</v>
      </c>
      <c r="K131" s="26">
        <f>ROUND(K$11/2,4)</f>
        <v>0.1219</v>
      </c>
      <c r="L131" s="165">
        <f t="shared" si="97"/>
        <v>0.3833</v>
      </c>
      <c r="M131" s="30">
        <v>1.4985</v>
      </c>
      <c r="N131" s="30">
        <f t="shared" si="67"/>
        <v>0.3373</v>
      </c>
      <c r="O131" s="30">
        <f>ROUND(STORE_COST/2,4)</f>
        <v>0</v>
      </c>
      <c r="P131" s="30">
        <f t="shared" si="98"/>
        <v>0.3373</v>
      </c>
      <c r="Q131" s="30">
        <f t="shared" si="86"/>
        <v>0.0094</v>
      </c>
      <c r="R131" s="168">
        <f t="shared" si="87"/>
        <v>0.39</v>
      </c>
      <c r="S131" s="170"/>
      <c r="T131" s="184">
        <v>1.51</v>
      </c>
      <c r="U131" s="122">
        <f>R131-T142</f>
        <v>-0.21999999999999997</v>
      </c>
    </row>
    <row r="132" spans="1:21" ht="14.25" thickBot="1" thickTop="1">
      <c r="A132" s="21" t="s">
        <v>162</v>
      </c>
      <c r="B132" s="27">
        <f>'CNTNR COST'!G130</f>
        <v>0.1528</v>
      </c>
      <c r="C132" s="26">
        <f>ROUND(C130/32*12,4)</f>
        <v>0.0738</v>
      </c>
      <c r="D132" s="30">
        <f>+$D$13</f>
        <v>0.0124</v>
      </c>
      <c r="E132" s="31">
        <f>ROUND($E$11/32*12,4)</f>
        <v>0</v>
      </c>
      <c r="F132" s="31">
        <f>ROUND($F$11/32*12,4)</f>
        <v>-0.0005</v>
      </c>
      <c r="G132" s="26">
        <f t="shared" si="95"/>
        <v>0.2385</v>
      </c>
      <c r="H132" s="26">
        <f t="shared" si="66"/>
        <v>0.00865025906735753</v>
      </c>
      <c r="I132" s="26">
        <f t="shared" si="96"/>
        <v>0.2472</v>
      </c>
      <c r="J132" s="26">
        <f>ROUND(J130/32*12,4)</f>
        <v>-0.0489</v>
      </c>
      <c r="K132" s="26">
        <f>ROUND(K130/32*12,4)</f>
        <v>0.0914</v>
      </c>
      <c r="L132" s="165">
        <f t="shared" si="97"/>
        <v>0.2897</v>
      </c>
      <c r="M132" s="30"/>
      <c r="N132" s="30">
        <f t="shared" si="67"/>
        <v>0.2549</v>
      </c>
      <c r="O132" s="30">
        <f>ROUND(STORE_COST/32*12,4)</f>
        <v>0</v>
      </c>
      <c r="P132" s="115">
        <f t="shared" si="98"/>
        <v>0.2549</v>
      </c>
      <c r="Q132" s="30">
        <f t="shared" si="86"/>
        <v>0.0071</v>
      </c>
      <c r="R132" s="168">
        <f t="shared" si="87"/>
        <v>0.29</v>
      </c>
      <c r="S132" s="170"/>
      <c r="T132" s="172"/>
      <c r="U132" s="122"/>
    </row>
    <row r="133" spans="1:21" ht="14.25" thickBot="1" thickTop="1">
      <c r="A133" s="21" t="s">
        <v>64</v>
      </c>
      <c r="B133" s="27">
        <f>'CNTNR COST'!G131</f>
        <v>0.1432</v>
      </c>
      <c r="C133" s="26">
        <f>ROUND(C130/32*10,4)</f>
        <v>0.0615</v>
      </c>
      <c r="D133" s="26">
        <f>+$D$14</f>
        <v>0.0103</v>
      </c>
      <c r="E133" s="31">
        <f>ROUND($E$11/32*10,4)</f>
        <v>0</v>
      </c>
      <c r="F133" s="31">
        <f>ROUND($F$11/32*10,4)</f>
        <v>-0.0004</v>
      </c>
      <c r="G133" s="26">
        <f t="shared" si="95"/>
        <v>0.2146</v>
      </c>
      <c r="H133" s="26">
        <f t="shared" si="66"/>
        <v>0.007783419689119192</v>
      </c>
      <c r="I133" s="26">
        <f t="shared" si="96"/>
        <v>0.2224</v>
      </c>
      <c r="J133" s="26">
        <f>ROUND(J$11/3,4)</f>
        <v>-0.0435</v>
      </c>
      <c r="K133" s="26">
        <f>ROUND(K$11/3,4)</f>
        <v>0.0812</v>
      </c>
      <c r="L133" s="165">
        <f t="shared" si="97"/>
        <v>0.2601</v>
      </c>
      <c r="M133" s="30">
        <v>0.9643</v>
      </c>
      <c r="N133" s="30">
        <f t="shared" si="67"/>
        <v>0.2289</v>
      </c>
      <c r="O133" s="30">
        <f>ROUND(STORE_COST/32*10,4)</f>
        <v>0</v>
      </c>
      <c r="P133" s="30">
        <f t="shared" si="98"/>
        <v>0.2289</v>
      </c>
      <c r="Q133" s="30">
        <f t="shared" si="86"/>
        <v>0.0064</v>
      </c>
      <c r="R133" s="168">
        <f t="shared" si="87"/>
        <v>0.27</v>
      </c>
      <c r="S133" s="170"/>
      <c r="T133" s="184">
        <v>0.97</v>
      </c>
      <c r="U133" s="122">
        <f>R133-T143</f>
        <v>-0.22999999999999998</v>
      </c>
    </row>
    <row r="134" spans="1:21" ht="14.25" thickBot="1" thickTop="1">
      <c r="A134" s="21" t="s">
        <v>65</v>
      </c>
      <c r="B134" s="27">
        <f>'CNTNR COST'!G132</f>
        <v>0.071</v>
      </c>
      <c r="C134" s="26">
        <f>ROUND(C130/4,4)</f>
        <v>0.0492</v>
      </c>
      <c r="D134" s="26">
        <f>+$D$15</f>
        <v>0.0367</v>
      </c>
      <c r="E134" s="31">
        <f>ROUND($E$11/4,4)</f>
        <v>0</v>
      </c>
      <c r="F134" s="31">
        <f>ROUND($F$11/4,4)</f>
        <v>-0.0003</v>
      </c>
      <c r="G134" s="26">
        <f t="shared" si="95"/>
        <v>0.1566</v>
      </c>
      <c r="H134" s="26">
        <f t="shared" si="66"/>
        <v>0.005679792746113993</v>
      </c>
      <c r="I134" s="26">
        <f t="shared" si="96"/>
        <v>0.1623</v>
      </c>
      <c r="J134" s="26">
        <f>ROUND(J$11/4,4)</f>
        <v>-0.0326</v>
      </c>
      <c r="K134" s="26">
        <f>ROUND(K$11/4,4)</f>
        <v>0.0609</v>
      </c>
      <c r="L134" s="165">
        <f t="shared" si="97"/>
        <v>0.1906</v>
      </c>
      <c r="M134" s="30">
        <v>0.7593</v>
      </c>
      <c r="N134" s="30">
        <f t="shared" si="67"/>
        <v>0.1677</v>
      </c>
      <c r="O134" s="30">
        <f>ROUND(STORE_COST/4,4)</f>
        <v>0</v>
      </c>
      <c r="P134" s="30">
        <f t="shared" si="98"/>
        <v>0.1677</v>
      </c>
      <c r="Q134" s="30">
        <f t="shared" si="86"/>
        <v>0.0047</v>
      </c>
      <c r="R134" s="168">
        <f t="shared" si="87"/>
        <v>0.2</v>
      </c>
      <c r="S134" s="170"/>
      <c r="T134" s="184">
        <v>0.77</v>
      </c>
      <c r="U134" s="122">
        <f>R134-T144</f>
        <v>-0.06</v>
      </c>
    </row>
    <row r="135" spans="1:21" ht="14.25" thickBot="1" thickTop="1">
      <c r="A135" s="21" t="s">
        <v>66</v>
      </c>
      <c r="B135" s="27">
        <f>'CNTNR COST'!G133</f>
        <v>0.0618</v>
      </c>
      <c r="C135" s="26">
        <f>ROUND(C130/8,4)</f>
        <v>0.0246</v>
      </c>
      <c r="D135" s="26">
        <f>+$D$16</f>
        <v>0.0373</v>
      </c>
      <c r="E135" s="31">
        <f>ROUND($E$11/8,4)</f>
        <v>0</v>
      </c>
      <c r="F135" s="31">
        <f>ROUND($F$11/8,4)</f>
        <v>-0.0002</v>
      </c>
      <c r="G135" s="26">
        <f t="shared" si="95"/>
        <v>0.1235</v>
      </c>
      <c r="H135" s="26">
        <f t="shared" si="66"/>
        <v>0.0044792746113989645</v>
      </c>
      <c r="I135" s="26">
        <f t="shared" si="96"/>
        <v>0.128</v>
      </c>
      <c r="J135" s="26">
        <f>ROUND(J$11/8,4)</f>
        <v>-0.0163</v>
      </c>
      <c r="K135" s="26">
        <f>ROUND(K$11/8,4)</f>
        <v>0.0305</v>
      </c>
      <c r="L135" s="165">
        <f t="shared" si="97"/>
        <v>0.1422</v>
      </c>
      <c r="M135" s="30">
        <v>0.3972</v>
      </c>
      <c r="N135" s="30">
        <f t="shared" si="67"/>
        <v>0.1251</v>
      </c>
      <c r="O135" s="30">
        <f>ROUND(STORE_COST/8,4)</f>
        <v>0</v>
      </c>
      <c r="P135" s="30">
        <f t="shared" si="98"/>
        <v>0.1251</v>
      </c>
      <c r="Q135" s="30">
        <f t="shared" si="86"/>
        <v>0.0035</v>
      </c>
      <c r="R135" s="168">
        <f t="shared" si="87"/>
        <v>0.15</v>
      </c>
      <c r="S135" s="170"/>
      <c r="T135" s="184">
        <v>0.4</v>
      </c>
      <c r="U135" s="122">
        <f>R135-T145</f>
        <v>-1.77</v>
      </c>
    </row>
    <row r="136" spans="1:21" ht="14.25" thickBot="1" thickTop="1">
      <c r="A136" s="21" t="s">
        <v>94</v>
      </c>
      <c r="B136" s="36">
        <f>'CNTNR COST'!G134</f>
        <v>0.3604</v>
      </c>
      <c r="C136" s="26">
        <f>C130</f>
        <v>0.1969</v>
      </c>
      <c r="D136" s="37">
        <f>+$D$17</f>
        <v>0.1058</v>
      </c>
      <c r="E136" s="40">
        <f>ROUND($E$11,4)</f>
        <v>0</v>
      </c>
      <c r="F136" s="40">
        <f>ROUND($F$11,4)</f>
        <v>-0.0013</v>
      </c>
      <c r="G136" s="37">
        <f t="shared" si="95"/>
        <v>0.6618</v>
      </c>
      <c r="H136" s="37">
        <f t="shared" si="66"/>
        <v>0.024003108808290152</v>
      </c>
      <c r="I136" s="37">
        <f t="shared" si="96"/>
        <v>0.6858</v>
      </c>
      <c r="J136" s="37">
        <f>J$11</f>
        <v>-0.1305</v>
      </c>
      <c r="K136" s="37">
        <f>K$11</f>
        <v>0.2437</v>
      </c>
      <c r="L136" s="166">
        <f t="shared" si="97"/>
        <v>0.799</v>
      </c>
      <c r="M136" s="42">
        <v>2.9198</v>
      </c>
      <c r="N136" s="42">
        <f t="shared" si="67"/>
        <v>0.7031</v>
      </c>
      <c r="O136" s="42">
        <f>STORE_COST</f>
        <v>0</v>
      </c>
      <c r="P136" s="42">
        <f t="shared" si="98"/>
        <v>0.7031</v>
      </c>
      <c r="Q136" s="42">
        <f t="shared" si="86"/>
        <v>0.0195</v>
      </c>
      <c r="R136" s="169">
        <f t="shared" si="87"/>
        <v>0.8</v>
      </c>
      <c r="S136" s="170"/>
      <c r="T136" s="185">
        <v>2.94</v>
      </c>
      <c r="U136" s="123">
        <f>R136-T146</f>
        <v>0.8</v>
      </c>
    </row>
    <row r="137" spans="1:20" ht="14.25" thickBot="1" thickTop="1">
      <c r="A137" s="38" t="s">
        <v>73</v>
      </c>
      <c r="L137" s="43"/>
      <c r="M137" s="43"/>
      <c r="N137" s="43"/>
      <c r="O137" s="43"/>
      <c r="P137" s="43"/>
      <c r="Q137" s="43"/>
      <c r="R137" s="170"/>
      <c r="S137" s="170"/>
      <c r="T137" s="186"/>
    </row>
    <row r="138" spans="1:21" ht="14.25" thickBot="1" thickTop="1">
      <c r="A138" s="21" t="s">
        <v>63</v>
      </c>
      <c r="B138" s="35">
        <f>'CNTNR COST'!G136</f>
        <v>0.568</v>
      </c>
      <c r="C138" s="25">
        <f>+C139*2</f>
        <v>1.3896</v>
      </c>
      <c r="D138" s="25">
        <f>+$D$10</f>
        <v>-0.0419</v>
      </c>
      <c r="E138" s="39">
        <f>ROUND($E$11*2,4)</f>
        <v>0</v>
      </c>
      <c r="F138" s="39">
        <f>ROUND($F$11*2,4)</f>
        <v>-0.0026</v>
      </c>
      <c r="G138" s="25">
        <f aca="true" t="shared" si="99" ref="G138:G145">ROUND(SUM(B138:F138),4)</f>
        <v>1.9131</v>
      </c>
      <c r="H138" s="25">
        <f t="shared" si="66"/>
        <v>0.06938704663212447</v>
      </c>
      <c r="I138" s="25">
        <f aca="true" t="shared" si="100" ref="I138:I145">ROUND(G138+H138,4)</f>
        <v>1.9825</v>
      </c>
      <c r="J138" s="25">
        <f>ROUND(J$11*2,4)</f>
        <v>-0.261</v>
      </c>
      <c r="K138" s="25">
        <f>ROUND(K$11*2,4)</f>
        <v>0.4874</v>
      </c>
      <c r="L138" s="164">
        <f aca="true" t="shared" si="101" ref="L138:L145">ROUND(SUM(I138:K138),4)</f>
        <v>2.2089</v>
      </c>
      <c r="M138" s="41">
        <v>3.7232</v>
      </c>
      <c r="N138" s="41">
        <f t="shared" si="67"/>
        <v>1.9438</v>
      </c>
      <c r="O138" s="41">
        <f>ROUND(2*STORE_COST,4)</f>
        <v>0</v>
      </c>
      <c r="P138" s="41">
        <f>N138+O138</f>
        <v>1.9438</v>
      </c>
      <c r="Q138" s="41">
        <f t="shared" si="86"/>
        <v>0.0539</v>
      </c>
      <c r="R138" s="167">
        <f t="shared" si="87"/>
        <v>2.21</v>
      </c>
      <c r="S138" s="170"/>
      <c r="T138" s="183">
        <v>3.75</v>
      </c>
      <c r="U138" s="121">
        <f>R138-T148</f>
        <v>2.21</v>
      </c>
    </row>
    <row r="139" spans="1:21" ht="14.25" thickBot="1" thickTop="1">
      <c r="A139" s="21" t="s">
        <v>14</v>
      </c>
      <c r="B139" s="27">
        <f>'CNTNR COST'!G137</f>
        <v>0.284</v>
      </c>
      <c r="C139" s="26">
        <f>SC_ADDON</f>
        <v>0.6948</v>
      </c>
      <c r="D139" s="26">
        <f>+$D$11</f>
        <v>0.033</v>
      </c>
      <c r="E139" s="31">
        <f>ENERGY_ADDON</f>
        <v>0</v>
      </c>
      <c r="F139" s="31">
        <f>ROUND(COST_UPDATE_ADJ,4)</f>
        <v>-0.0013</v>
      </c>
      <c r="G139" s="26">
        <f t="shared" si="99"/>
        <v>1.0105</v>
      </c>
      <c r="H139" s="26">
        <f t="shared" si="66"/>
        <v>0.03665025906735764</v>
      </c>
      <c r="I139" s="26">
        <f t="shared" si="100"/>
        <v>1.0472</v>
      </c>
      <c r="J139" s="26">
        <f>$J$11</f>
        <v>-0.1305</v>
      </c>
      <c r="K139" s="26">
        <f>$K$11</f>
        <v>0.2437</v>
      </c>
      <c r="L139" s="165">
        <f t="shared" si="101"/>
        <v>1.1604</v>
      </c>
      <c r="M139" s="30">
        <v>1.8696</v>
      </c>
      <c r="N139" s="30">
        <f t="shared" si="67"/>
        <v>1.0212</v>
      </c>
      <c r="O139" s="30">
        <f>STORE_COST</f>
        <v>0</v>
      </c>
      <c r="P139" s="30">
        <f aca="true" t="shared" si="102" ref="P139:P145">O139+N139</f>
        <v>1.0212</v>
      </c>
      <c r="Q139" s="30">
        <f t="shared" si="86"/>
        <v>0.0283</v>
      </c>
      <c r="R139" s="168">
        <f t="shared" si="87"/>
        <v>1.17</v>
      </c>
      <c r="S139" s="170"/>
      <c r="T139" s="184">
        <v>1.89</v>
      </c>
      <c r="U139" s="122">
        <f>R139-T149</f>
        <v>1.17</v>
      </c>
    </row>
    <row r="140" spans="1:21" ht="14.25" thickBot="1" thickTop="1">
      <c r="A140" s="21" t="s">
        <v>15</v>
      </c>
      <c r="B140" s="27">
        <f>'CNTNR COST'!G138</f>
        <v>0.142</v>
      </c>
      <c r="C140" s="26">
        <f>ROUND(C139/2,4)</f>
        <v>0.3474</v>
      </c>
      <c r="D140" s="26">
        <f>+$D$12</f>
        <v>0.0755</v>
      </c>
      <c r="E140" s="31">
        <f>ROUND($E$11/2,4)</f>
        <v>0</v>
      </c>
      <c r="F140" s="31">
        <f>ROUND($F$11/2,4)</f>
        <v>-0.0007</v>
      </c>
      <c r="G140" s="26">
        <f t="shared" si="99"/>
        <v>0.5642</v>
      </c>
      <c r="H140" s="26">
        <f t="shared" si="66"/>
        <v>0.02046321243523319</v>
      </c>
      <c r="I140" s="26">
        <f t="shared" si="100"/>
        <v>0.5847</v>
      </c>
      <c r="J140" s="26">
        <f>ROUND(J$11/2,4)</f>
        <v>-0.0653</v>
      </c>
      <c r="K140" s="26">
        <f>ROUND(K$11/2,4)</f>
        <v>0.1219</v>
      </c>
      <c r="L140" s="165">
        <f t="shared" si="101"/>
        <v>0.6413</v>
      </c>
      <c r="M140" s="30">
        <v>0.9452</v>
      </c>
      <c r="N140" s="30">
        <f t="shared" si="67"/>
        <v>0.5643</v>
      </c>
      <c r="O140" s="30">
        <f>ROUND(STORE_COST/2,4)</f>
        <v>0</v>
      </c>
      <c r="P140" s="30">
        <f t="shared" si="102"/>
        <v>0.5643</v>
      </c>
      <c r="Q140" s="30">
        <f t="shared" si="86"/>
        <v>0.0157</v>
      </c>
      <c r="R140" s="168">
        <f t="shared" si="87"/>
        <v>0.65</v>
      </c>
      <c r="S140" s="170"/>
      <c r="T140" s="184">
        <v>0.96</v>
      </c>
      <c r="U140" s="122">
        <f>R140-T150</f>
        <v>0.65</v>
      </c>
    </row>
    <row r="141" spans="1:21" ht="14.25" thickBot="1" thickTop="1">
      <c r="A141" s="21" t="s">
        <v>162</v>
      </c>
      <c r="B141" s="27">
        <f>'CNTNR COST'!G139</f>
        <v>0.1065</v>
      </c>
      <c r="C141" s="26">
        <f>ROUND(C139/32*12,4)</f>
        <v>0.2606</v>
      </c>
      <c r="D141" s="30">
        <f>+$D$13</f>
        <v>0.0124</v>
      </c>
      <c r="E141" s="31">
        <f>ROUND($E$11/32*12,4)</f>
        <v>0</v>
      </c>
      <c r="F141" s="31">
        <f>ROUND($F$11/32*12,4)</f>
        <v>-0.0005</v>
      </c>
      <c r="G141" s="26">
        <f t="shared" si="99"/>
        <v>0.379</v>
      </c>
      <c r="H141" s="26">
        <f t="shared" si="66"/>
        <v>0.01374611398963732</v>
      </c>
      <c r="I141" s="26">
        <f t="shared" si="100"/>
        <v>0.3927</v>
      </c>
      <c r="J141" s="26">
        <f>ROUND(J139/32*12,4)</f>
        <v>-0.0489</v>
      </c>
      <c r="K141" s="26">
        <f>ROUND(K139/32*12,4)</f>
        <v>0.0914</v>
      </c>
      <c r="L141" s="165">
        <f t="shared" si="101"/>
        <v>0.4352</v>
      </c>
      <c r="M141" s="30"/>
      <c r="N141" s="30">
        <f t="shared" si="67"/>
        <v>0.383</v>
      </c>
      <c r="O141" s="30">
        <f>ROUND(STORE_COST/32*12,4)</f>
        <v>0</v>
      </c>
      <c r="P141" s="115">
        <f t="shared" si="102"/>
        <v>0.383</v>
      </c>
      <c r="Q141" s="30">
        <f t="shared" si="86"/>
        <v>0.0106</v>
      </c>
      <c r="R141" s="168">
        <f t="shared" si="87"/>
        <v>0.44</v>
      </c>
      <c r="S141" s="170"/>
      <c r="T141" s="172"/>
      <c r="U141" s="122"/>
    </row>
    <row r="142" spans="1:21" ht="14.25" thickBot="1" thickTop="1">
      <c r="A142" s="21" t="s">
        <v>64</v>
      </c>
      <c r="B142" s="27">
        <f>'CNTNR COST'!G140</f>
        <v>0.0888</v>
      </c>
      <c r="C142" s="26">
        <f>ROUND(C139/32*10,4)</f>
        <v>0.2171</v>
      </c>
      <c r="D142" s="26">
        <f>+$D$14</f>
        <v>0.0103</v>
      </c>
      <c r="E142" s="31">
        <f>ROUND($E$11/32*10,4)</f>
        <v>0</v>
      </c>
      <c r="F142" s="31">
        <f>ROUND($F$11/32*10,4)</f>
        <v>-0.0004</v>
      </c>
      <c r="G142" s="26">
        <f t="shared" si="99"/>
        <v>0.3158</v>
      </c>
      <c r="H142" s="26">
        <f t="shared" si="66"/>
        <v>0.01145388601036268</v>
      </c>
      <c r="I142" s="26">
        <f t="shared" si="100"/>
        <v>0.3273</v>
      </c>
      <c r="J142" s="26">
        <f>ROUND(J$11/3,4)</f>
        <v>-0.0435</v>
      </c>
      <c r="K142" s="26">
        <f>ROUND(K$11/3,4)</f>
        <v>0.0812</v>
      </c>
      <c r="L142" s="165">
        <f t="shared" si="101"/>
        <v>0.365</v>
      </c>
      <c r="M142" s="30">
        <v>0.5986</v>
      </c>
      <c r="N142" s="30">
        <f t="shared" si="67"/>
        <v>0.3212</v>
      </c>
      <c r="O142" s="30">
        <f>ROUND(STORE_COST/32*10,4)</f>
        <v>0</v>
      </c>
      <c r="P142" s="30">
        <f t="shared" si="102"/>
        <v>0.3212</v>
      </c>
      <c r="Q142" s="30">
        <f t="shared" si="86"/>
        <v>0.0089</v>
      </c>
      <c r="R142" s="168">
        <f t="shared" si="87"/>
        <v>0.37</v>
      </c>
      <c r="S142" s="170"/>
      <c r="T142" s="184">
        <v>0.61</v>
      </c>
      <c r="U142" s="122">
        <f>R142-T151</f>
        <v>0.37</v>
      </c>
    </row>
    <row r="143" spans="1:21" ht="14.25" thickBot="1" thickTop="1">
      <c r="A143" s="21" t="s">
        <v>65</v>
      </c>
      <c r="B143" s="27">
        <f>'CNTNR COST'!G141</f>
        <v>0.071</v>
      </c>
      <c r="C143" s="26">
        <f>ROUND(C139/4,4)</f>
        <v>0.1737</v>
      </c>
      <c r="D143" s="26">
        <f>+$D$15</f>
        <v>0.0367</v>
      </c>
      <c r="E143" s="31">
        <f>ROUND($E$11/4,4)</f>
        <v>0</v>
      </c>
      <c r="F143" s="31">
        <f>ROUND($F$11/4,4)</f>
        <v>-0.0003</v>
      </c>
      <c r="G143" s="26">
        <f t="shared" si="99"/>
        <v>0.2811</v>
      </c>
      <c r="H143" s="26">
        <f t="shared" si="66"/>
        <v>0.01019533678756479</v>
      </c>
      <c r="I143" s="26">
        <f t="shared" si="100"/>
        <v>0.2913</v>
      </c>
      <c r="J143" s="26">
        <f>ROUND(J$11/4,4)</f>
        <v>-0.0326</v>
      </c>
      <c r="K143" s="26">
        <f>ROUND(K$11/4,4)</f>
        <v>0.0609</v>
      </c>
      <c r="L143" s="165">
        <f t="shared" si="101"/>
        <v>0.3196</v>
      </c>
      <c r="M143" s="30">
        <v>0.4889</v>
      </c>
      <c r="N143" s="30">
        <f t="shared" si="67"/>
        <v>0.2812</v>
      </c>
      <c r="O143" s="30">
        <f>ROUND(STORE_COST/4,4)</f>
        <v>0</v>
      </c>
      <c r="P143" s="30">
        <f t="shared" si="102"/>
        <v>0.2812</v>
      </c>
      <c r="Q143" s="30">
        <f t="shared" si="86"/>
        <v>0.0078</v>
      </c>
      <c r="R143" s="168">
        <f t="shared" si="87"/>
        <v>0.32</v>
      </c>
      <c r="S143" s="170"/>
      <c r="T143" s="184">
        <v>0.5</v>
      </c>
      <c r="U143" s="122">
        <f>R143-T152</f>
        <v>0.32</v>
      </c>
    </row>
    <row r="144" spans="1:21" ht="14.25" thickBot="1" thickTop="1">
      <c r="A144" s="21" t="s">
        <v>66</v>
      </c>
      <c r="B144" s="27">
        <f>'CNTNR COST'!G142</f>
        <v>0.0355</v>
      </c>
      <c r="C144" s="26">
        <f>ROUND(C139/8,4)</f>
        <v>0.0869</v>
      </c>
      <c r="D144" s="26">
        <f>+$D$16</f>
        <v>0.0373</v>
      </c>
      <c r="E144" s="31">
        <f>ROUND($E$11/8,4)</f>
        <v>0</v>
      </c>
      <c r="F144" s="31">
        <f>ROUND($F$11/8,4)</f>
        <v>-0.0002</v>
      </c>
      <c r="G144" s="26">
        <f t="shared" si="99"/>
        <v>0.1595</v>
      </c>
      <c r="H144" s="26">
        <f t="shared" si="66"/>
        <v>0.005784974093264256</v>
      </c>
      <c r="I144" s="26">
        <f t="shared" si="100"/>
        <v>0.1653</v>
      </c>
      <c r="J144" s="26">
        <f>ROUND(J$11/8,4)</f>
        <v>-0.0163</v>
      </c>
      <c r="K144" s="26">
        <f>ROUND(K$11/8,4)</f>
        <v>0.0305</v>
      </c>
      <c r="L144" s="165">
        <f t="shared" si="101"/>
        <v>0.1795</v>
      </c>
      <c r="M144" s="30">
        <v>0.2547</v>
      </c>
      <c r="N144" s="30">
        <f t="shared" si="67"/>
        <v>0.158</v>
      </c>
      <c r="O144" s="30">
        <f>ROUND(STORE_COST/8,4)</f>
        <v>0</v>
      </c>
      <c r="P144" s="30">
        <f t="shared" si="102"/>
        <v>0.158</v>
      </c>
      <c r="Q144" s="30">
        <f t="shared" si="86"/>
        <v>0.0044</v>
      </c>
      <c r="R144" s="168">
        <f t="shared" si="87"/>
        <v>0.18</v>
      </c>
      <c r="S144" s="170"/>
      <c r="T144" s="184">
        <v>0.26</v>
      </c>
      <c r="U144" s="122">
        <f>R144-T153</f>
        <v>0.18</v>
      </c>
    </row>
    <row r="145" spans="1:21" ht="14.25" thickBot="1" thickTop="1">
      <c r="A145" s="21" t="s">
        <v>94</v>
      </c>
      <c r="B145" s="36">
        <f>'CNTNR COST'!G143</f>
        <v>0.284</v>
      </c>
      <c r="C145" s="26">
        <f>C139</f>
        <v>0.6948</v>
      </c>
      <c r="D145" s="37">
        <f>+$D$17</f>
        <v>0.1058</v>
      </c>
      <c r="E145" s="40">
        <f>ROUND($E$11,4)</f>
        <v>0</v>
      </c>
      <c r="F145" s="40">
        <f>ROUND($F$11,4)</f>
        <v>-0.0013</v>
      </c>
      <c r="G145" s="37">
        <f t="shared" si="99"/>
        <v>1.0833</v>
      </c>
      <c r="H145" s="37">
        <f t="shared" si="66"/>
        <v>0.0392906735751295</v>
      </c>
      <c r="I145" s="37">
        <f t="shared" si="100"/>
        <v>1.1226</v>
      </c>
      <c r="J145" s="37">
        <f>J$11</f>
        <v>-0.1305</v>
      </c>
      <c r="K145" s="37">
        <f>K$11</f>
        <v>0.2437</v>
      </c>
      <c r="L145" s="166">
        <f t="shared" si="101"/>
        <v>1.2358</v>
      </c>
      <c r="M145" s="42">
        <v>1.9083</v>
      </c>
      <c r="N145" s="42">
        <f t="shared" si="67"/>
        <v>1.0875</v>
      </c>
      <c r="O145" s="42">
        <f>STORE_COST</f>
        <v>0</v>
      </c>
      <c r="P145" s="42">
        <f t="shared" si="102"/>
        <v>1.0875</v>
      </c>
      <c r="Q145" s="42">
        <f t="shared" si="86"/>
        <v>0.0302</v>
      </c>
      <c r="R145" s="169">
        <f t="shared" si="87"/>
        <v>1.24</v>
      </c>
      <c r="S145" s="170"/>
      <c r="T145" s="185">
        <v>1.92</v>
      </c>
      <c r="U145" s="123">
        <f>R145-T154</f>
        <v>1.24</v>
      </c>
    </row>
    <row r="146" ht="13.5" thickTop="1">
      <c r="T146" s="182"/>
    </row>
    <row r="147" ht="12.75">
      <c r="T147" s="182"/>
    </row>
    <row r="148" ht="12.75">
      <c r="T148" s="182"/>
    </row>
    <row r="149" ht="12.75">
      <c r="T149" s="182"/>
    </row>
    <row r="150" ht="12.75">
      <c r="T150" s="182"/>
    </row>
    <row r="151" ht="12.75">
      <c r="T151" s="182"/>
    </row>
    <row r="152" ht="12.75">
      <c r="T152" s="182"/>
    </row>
    <row r="153" ht="12.75">
      <c r="T153" s="182"/>
    </row>
    <row r="154" ht="12.75">
      <c r="T154" s="182"/>
    </row>
    <row r="155" ht="12.75">
      <c r="T155" s="162"/>
    </row>
    <row r="156" ht="12.75">
      <c r="T156" s="162"/>
    </row>
    <row r="157" ht="12.75">
      <c r="T157" s="162"/>
    </row>
    <row r="158" ht="12.75">
      <c r="T158" s="162"/>
    </row>
  </sheetData>
  <sheetProtection/>
  <printOptions horizontalCentered="1"/>
  <pageMargins left="0.25" right="0.25" top="0.25" bottom="0.25" header="0.5" footer="0.5"/>
  <pageSetup fitToHeight="3" fitToWidth="1" horizontalDpi="600" verticalDpi="600" orientation="landscape" paperSize="5" scale="77" r:id="rId1"/>
  <rowBreaks count="2" manualBreakCount="2">
    <brk id="77" max="19" man="1"/>
    <brk id="145" max="19" man="1"/>
  </rowBreaks>
  <colBreaks count="1" manualBreakCount="1"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zoomScale="75" zoomScaleNormal="75" zoomScalePageLayoutView="0" workbookViewId="0" topLeftCell="A40">
      <selection activeCell="C33" sqref="C33"/>
    </sheetView>
  </sheetViews>
  <sheetFormatPr defaultColWidth="9.140625" defaultRowHeight="12.75"/>
  <cols>
    <col min="1" max="1" width="37.28125" style="0" customWidth="1"/>
    <col min="2" max="2" width="12.8515625" style="0" customWidth="1"/>
    <col min="3" max="3" width="10.00390625" style="0" bestFit="1" customWidth="1"/>
    <col min="4" max="4" width="11.140625" style="0" bestFit="1" customWidth="1"/>
    <col min="5" max="5" width="10.28125" style="0" customWidth="1"/>
    <col min="6" max="6" width="9.8515625" style="0" customWidth="1"/>
    <col min="7" max="9" width="9.57421875" style="0" bestFit="1" customWidth="1"/>
    <col min="10" max="10" width="9.57421875" style="0" customWidth="1"/>
    <col min="11" max="13" width="9.57421875" style="0" bestFit="1" customWidth="1"/>
  </cols>
  <sheetData>
    <row r="1" spans="1:13" ht="34.5">
      <c r="A1" s="48" t="s">
        <v>95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8.75" thickBot="1">
      <c r="A2" s="49" t="s">
        <v>37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8.75" thickBot="1">
      <c r="A3" s="49" t="s">
        <v>156</v>
      </c>
      <c r="B3" s="33"/>
      <c r="C3" s="33"/>
      <c r="D3" s="33"/>
      <c r="E3" s="33"/>
      <c r="F3" s="33"/>
      <c r="G3" s="33"/>
      <c r="H3" s="6"/>
      <c r="I3" s="154"/>
      <c r="J3" s="154"/>
      <c r="K3" s="154"/>
      <c r="L3" s="155" t="s">
        <v>137</v>
      </c>
      <c r="M3" s="155" t="s">
        <v>138</v>
      </c>
    </row>
    <row r="4" spans="1:13" ht="18.75" thickBot="1">
      <c r="A4" s="49" t="s">
        <v>157</v>
      </c>
      <c r="B4" s="33"/>
      <c r="C4" s="33"/>
      <c r="D4" s="33"/>
      <c r="E4" s="33"/>
      <c r="F4" s="33"/>
      <c r="G4" s="33"/>
      <c r="I4" s="253" t="s">
        <v>135</v>
      </c>
      <c r="J4" s="254"/>
      <c r="K4" s="255"/>
      <c r="L4" s="156">
        <f>Class_1_skim_Rate</f>
        <v>0</v>
      </c>
      <c r="M4" s="157">
        <f>Class_2_Skim_Rate</f>
        <v>0</v>
      </c>
    </row>
    <row r="5" spans="1:13" ht="18.75" thickBot="1">
      <c r="A5" s="49" t="s">
        <v>139</v>
      </c>
      <c r="B5" s="33"/>
      <c r="C5" s="33"/>
      <c r="D5" s="33"/>
      <c r="E5" s="33"/>
      <c r="F5" s="33"/>
      <c r="G5" s="33"/>
      <c r="I5" s="256" t="s">
        <v>136</v>
      </c>
      <c r="J5" s="254"/>
      <c r="K5" s="257"/>
      <c r="L5" s="195">
        <f>Class_1_BF_Rate</f>
        <v>0</v>
      </c>
      <c r="M5" s="196">
        <f>Class_2_BF_Rate</f>
        <v>0</v>
      </c>
    </row>
    <row r="6" spans="1:13" ht="35.25" thickBot="1">
      <c r="A6" s="140">
        <f>INPUT!B3</f>
        <v>0</v>
      </c>
      <c r="B6" s="44"/>
      <c r="C6" s="44"/>
      <c r="D6" s="50"/>
      <c r="E6" s="51"/>
      <c r="F6" s="52"/>
      <c r="G6" s="44"/>
      <c r="H6" s="44"/>
      <c r="I6" s="44"/>
      <c r="J6" s="44"/>
      <c r="L6" s="47"/>
      <c r="M6" s="252" t="str">
        <f>INPUT!A2</f>
        <v>OGO A-954 (CRO-5)</v>
      </c>
    </row>
    <row r="7" spans="1:13" ht="16.5" thickBot="1" thickTop="1">
      <c r="A7" s="53"/>
      <c r="B7" s="53"/>
      <c r="C7" s="54" t="s">
        <v>96</v>
      </c>
      <c r="D7" s="55"/>
      <c r="E7" s="56" t="s">
        <v>97</v>
      </c>
      <c r="F7" s="57" t="s">
        <v>98</v>
      </c>
      <c r="G7" s="58"/>
      <c r="H7" s="58"/>
      <c r="I7" s="58"/>
      <c r="J7" s="58"/>
      <c r="K7" s="58"/>
      <c r="L7" s="58"/>
      <c r="M7" s="59"/>
    </row>
    <row r="8" spans="1:13" ht="16.5" thickBot="1" thickTop="1">
      <c r="A8" s="60"/>
      <c r="B8" s="60" t="s">
        <v>99</v>
      </c>
      <c r="C8" s="61" t="s">
        <v>100</v>
      </c>
      <c r="D8" s="62"/>
      <c r="E8" s="63" t="s">
        <v>101</v>
      </c>
      <c r="F8" s="56"/>
      <c r="G8" s="56" t="s">
        <v>102</v>
      </c>
      <c r="H8" s="56"/>
      <c r="I8" s="56"/>
      <c r="J8" s="56"/>
      <c r="K8" s="56"/>
      <c r="L8" s="63" t="s">
        <v>111</v>
      </c>
      <c r="M8" s="56"/>
    </row>
    <row r="9" spans="1:13" ht="16.5" thickBot="1" thickTop="1">
      <c r="A9" s="64" t="s">
        <v>103</v>
      </c>
      <c r="B9" s="64" t="s">
        <v>104</v>
      </c>
      <c r="C9" s="65" t="s">
        <v>105</v>
      </c>
      <c r="D9" s="65" t="s">
        <v>106</v>
      </c>
      <c r="E9" s="65" t="s">
        <v>107</v>
      </c>
      <c r="F9" s="65" t="s">
        <v>108</v>
      </c>
      <c r="G9" s="65" t="s">
        <v>109</v>
      </c>
      <c r="H9" s="65" t="s">
        <v>14</v>
      </c>
      <c r="I9" s="65" t="s">
        <v>15</v>
      </c>
      <c r="J9" s="63" t="s">
        <v>163</v>
      </c>
      <c r="K9" s="65" t="s">
        <v>164</v>
      </c>
      <c r="L9" s="66" t="s">
        <v>147</v>
      </c>
      <c r="M9" s="65" t="s">
        <v>112</v>
      </c>
    </row>
    <row r="10" spans="1:13" ht="15.75" thickTop="1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9"/>
    </row>
    <row r="11" spans="1:13" ht="15">
      <c r="A11" s="80" t="s">
        <v>113</v>
      </c>
      <c r="B11" s="81">
        <v>400</v>
      </c>
      <c r="C11" s="82">
        <v>3.1</v>
      </c>
      <c r="D11" s="82">
        <v>6</v>
      </c>
      <c r="E11" s="83">
        <f>DETAIL!L17</f>
        <v>0.5932</v>
      </c>
      <c r="F11" s="83">
        <f>DETAIL!L9</f>
        <v>1.5069</v>
      </c>
      <c r="G11" s="83">
        <f>DETAIL!L10</f>
        <v>0.7654</v>
      </c>
      <c r="H11" s="83">
        <f>DETAIL!L11</f>
        <v>0.4386</v>
      </c>
      <c r="I11" s="83">
        <f>DETAIL!L12</f>
        <v>0.2803</v>
      </c>
      <c r="J11" s="83">
        <f>DETAIL!L13</f>
        <v>0.2126</v>
      </c>
      <c r="K11" s="83">
        <f>DETAIL!L14</f>
        <v>0.1958</v>
      </c>
      <c r="L11" s="83">
        <f>DETAIL!L15</f>
        <v>0.1392</v>
      </c>
      <c r="M11" s="84">
        <f>DETAIL!L16</f>
        <v>0.1165</v>
      </c>
    </row>
    <row r="12" spans="1:13" ht="15">
      <c r="A12" s="80" t="s">
        <v>47</v>
      </c>
      <c r="B12" s="81">
        <v>800</v>
      </c>
      <c r="C12" s="82">
        <v>1.5</v>
      </c>
      <c r="D12" s="82">
        <v>3.09</v>
      </c>
      <c r="E12" s="83">
        <f>DETAIL!L27</f>
        <v>0.5934</v>
      </c>
      <c r="F12" s="83">
        <f>DETAIL!L19</f>
        <v>1.5078</v>
      </c>
      <c r="G12" s="83">
        <f>DETAIL!L20</f>
        <v>0.7658</v>
      </c>
      <c r="H12" s="83">
        <f>DETAIL!L21</f>
        <v>0.4388</v>
      </c>
      <c r="I12" s="83">
        <f>DETAIL!L22</f>
        <v>0.2804</v>
      </c>
      <c r="J12" s="83">
        <f>DETAIL!L23</f>
        <v>0.2126</v>
      </c>
      <c r="K12" s="83">
        <f>DETAIL!L24</f>
        <v>0.1958</v>
      </c>
      <c r="L12" s="83">
        <f>DETAIL!L25</f>
        <v>0.1392</v>
      </c>
      <c r="M12" s="84">
        <f>DETAIL!L26</f>
        <v>0.1165</v>
      </c>
    </row>
    <row r="13" spans="1:13" ht="15">
      <c r="A13" s="70" t="s">
        <v>114</v>
      </c>
      <c r="B13" s="71">
        <v>900</v>
      </c>
      <c r="C13" s="72">
        <v>0.5</v>
      </c>
      <c r="D13" s="72">
        <v>1.49</v>
      </c>
      <c r="E13" s="73">
        <f>DETAIL!L37</f>
        <v>0.5936</v>
      </c>
      <c r="F13" s="73">
        <f>DETAIL!L29</f>
        <v>1.5087</v>
      </c>
      <c r="G13" s="73">
        <f>DETAIL!L30</f>
        <v>0.7662</v>
      </c>
      <c r="H13" s="73">
        <f>DETAIL!L31</f>
        <v>0.439</v>
      </c>
      <c r="I13" s="73">
        <f>DETAIL!L32</f>
        <v>0.2806</v>
      </c>
      <c r="J13" s="73">
        <f>DETAIL!L33</f>
        <v>0.2127</v>
      </c>
      <c r="K13" s="73">
        <f>DETAIL!L34</f>
        <v>0.1959</v>
      </c>
      <c r="L13" s="73">
        <f>DETAIL!L35</f>
        <v>0.1393</v>
      </c>
      <c r="M13" s="74">
        <f>DETAIL!L36</f>
        <v>0.1165</v>
      </c>
    </row>
    <row r="14" spans="1:13" ht="15">
      <c r="A14" s="75"/>
      <c r="B14" s="76"/>
      <c r="C14" s="77"/>
      <c r="D14" s="77"/>
      <c r="E14" s="78"/>
      <c r="F14" s="78"/>
      <c r="G14" s="78"/>
      <c r="H14" s="78"/>
      <c r="I14" s="78"/>
      <c r="J14" s="78"/>
      <c r="K14" s="78"/>
      <c r="L14" s="78"/>
      <c r="M14" s="79"/>
    </row>
    <row r="15" spans="1:13" ht="15">
      <c r="A15" s="70" t="s">
        <v>49</v>
      </c>
      <c r="B15" s="71">
        <v>1200</v>
      </c>
      <c r="C15" s="72">
        <v>0</v>
      </c>
      <c r="D15" s="72">
        <v>0.49</v>
      </c>
      <c r="E15" s="73">
        <f>DETAIL!L47</f>
        <v>0.5954</v>
      </c>
      <c r="F15" s="73">
        <f>DETAIL!L39</f>
        <v>1.5158</v>
      </c>
      <c r="G15" s="73">
        <f>DETAIL!L40</f>
        <v>0.7698</v>
      </c>
      <c r="H15" s="73">
        <f>DETAIL!L41</f>
        <v>0.4408</v>
      </c>
      <c r="I15" s="73">
        <f>DETAIL!L42</f>
        <v>0.2815</v>
      </c>
      <c r="J15" s="73">
        <f>DETAIL!L43</f>
        <v>0.2134</v>
      </c>
      <c r="K15" s="73">
        <f>DETAIL!L44</f>
        <v>0.1965</v>
      </c>
      <c r="L15" s="73">
        <f>DETAIL!L45</f>
        <v>0.1397</v>
      </c>
      <c r="M15" s="74">
        <f>DETAIL!L46</f>
        <v>0.1168</v>
      </c>
    </row>
    <row r="16" spans="1:13" ht="15">
      <c r="A16" s="75"/>
      <c r="B16" s="76"/>
      <c r="C16" s="77"/>
      <c r="D16" s="77"/>
      <c r="E16" s="78"/>
      <c r="F16" s="78"/>
      <c r="G16" s="78"/>
      <c r="H16" s="78"/>
      <c r="I16" s="78"/>
      <c r="J16" s="78"/>
      <c r="K16" s="78"/>
      <c r="L16" s="78"/>
      <c r="M16" s="79"/>
    </row>
    <row r="17" spans="1:13" ht="15">
      <c r="A17" s="80" t="s">
        <v>25</v>
      </c>
      <c r="B17" s="81">
        <v>500</v>
      </c>
      <c r="C17" s="82">
        <v>3.1</v>
      </c>
      <c r="D17" s="82">
        <v>6</v>
      </c>
      <c r="E17" s="83">
        <f>DETAIL!L57</f>
        <v>0.5933</v>
      </c>
      <c r="F17" s="83">
        <f>DETAIL!L49</f>
        <v>1.5074</v>
      </c>
      <c r="G17" s="83">
        <f>DETAIL!L50</f>
        <v>0.7656</v>
      </c>
      <c r="H17" s="83">
        <f>DETAIL!L51</f>
        <v>0.4387</v>
      </c>
      <c r="I17" s="83">
        <f>DETAIL!L52</f>
        <v>0.2804</v>
      </c>
      <c r="J17" s="83">
        <f>DETAIL!L53</f>
        <v>0.2126</v>
      </c>
      <c r="K17" s="83">
        <f>DETAIL!L54</f>
        <v>0.1958</v>
      </c>
      <c r="L17" s="83">
        <f>DETAIL!L55</f>
        <v>0.1392</v>
      </c>
      <c r="M17" s="84">
        <f>DETAIL!L56</f>
        <v>0.1165</v>
      </c>
    </row>
    <row r="18" spans="1:13" ht="15">
      <c r="A18" s="80" t="s">
        <v>50</v>
      </c>
      <c r="B18" s="81">
        <v>600</v>
      </c>
      <c r="C18" s="82">
        <v>0.5</v>
      </c>
      <c r="D18" s="82">
        <v>3.09</v>
      </c>
      <c r="E18" s="83">
        <f>DETAIL!L67</f>
        <v>0.5933</v>
      </c>
      <c r="F18" s="83">
        <f>DETAIL!L59</f>
        <v>1.5074</v>
      </c>
      <c r="G18" s="83">
        <f>DETAIL!L60</f>
        <v>0.7656</v>
      </c>
      <c r="H18" s="83">
        <f>DETAIL!L61</f>
        <v>0.4387</v>
      </c>
      <c r="I18" s="83">
        <f>DETAIL!L62</f>
        <v>0.2804</v>
      </c>
      <c r="J18" s="83">
        <f>DETAIL!L63</f>
        <v>0.2126</v>
      </c>
      <c r="K18" s="83">
        <f>DETAIL!L64</f>
        <v>0.1958</v>
      </c>
      <c r="L18" s="83">
        <f>DETAIL!L65</f>
        <v>0.1392</v>
      </c>
      <c r="M18" s="84">
        <f>DETAIL!L66</f>
        <v>0.1165</v>
      </c>
    </row>
    <row r="19" spans="1:13" ht="15">
      <c r="A19" s="80" t="s">
        <v>172</v>
      </c>
      <c r="B19" s="81">
        <v>700</v>
      </c>
      <c r="C19" s="82">
        <v>0</v>
      </c>
      <c r="D19" s="82">
        <v>0.49</v>
      </c>
      <c r="E19" s="83">
        <f>DETAIL!L77</f>
        <v>0.5933</v>
      </c>
      <c r="F19" s="83">
        <f>DETAIL!L69</f>
        <v>1.5074</v>
      </c>
      <c r="G19" s="83">
        <f>DETAIL!L70</f>
        <v>0.7656</v>
      </c>
      <c r="H19" s="83">
        <f>DETAIL!L71</f>
        <v>0.4387</v>
      </c>
      <c r="I19" s="83">
        <f>DETAIL!L72</f>
        <v>0.2804</v>
      </c>
      <c r="J19" s="83">
        <f>DETAIL!L73</f>
        <v>0.2126</v>
      </c>
      <c r="K19" s="83">
        <f>DETAIL!L74</f>
        <v>0.1958</v>
      </c>
      <c r="L19" s="83">
        <f>DETAIL!L75</f>
        <v>0.1392</v>
      </c>
      <c r="M19" s="84">
        <f>DETAIL!L76</f>
        <v>0.1165</v>
      </c>
    </row>
    <row r="20" spans="1:13" ht="15">
      <c r="A20" s="75"/>
      <c r="B20" s="76"/>
      <c r="C20" s="77"/>
      <c r="D20" s="77"/>
      <c r="E20" s="78"/>
      <c r="F20" s="78"/>
      <c r="G20" s="78"/>
      <c r="H20" s="78"/>
      <c r="I20" s="78"/>
      <c r="J20" s="78"/>
      <c r="K20" s="78"/>
      <c r="L20" s="78"/>
      <c r="M20" s="79"/>
    </row>
    <row r="21" spans="1:13" ht="15">
      <c r="A21" s="80" t="s">
        <v>27</v>
      </c>
      <c r="B21" s="81">
        <v>1000</v>
      </c>
      <c r="C21" s="82">
        <v>0</v>
      </c>
      <c r="D21" s="82">
        <v>6</v>
      </c>
      <c r="E21" s="83">
        <f>DETAIL!L87</f>
        <v>0.6503</v>
      </c>
      <c r="F21" s="83">
        <f>DETAIL!L79</f>
        <v>1.7356</v>
      </c>
      <c r="G21" s="83">
        <f>DETAIL!L80</f>
        <v>0.8797</v>
      </c>
      <c r="H21" s="83">
        <f>DETAIL!L81</f>
        <v>0.4957</v>
      </c>
      <c r="I21" s="83">
        <f>DETAIL!L82</f>
        <v>0.3089</v>
      </c>
      <c r="J21" s="83">
        <f>DETAIL!L83</f>
        <v>0.2339</v>
      </c>
      <c r="K21" s="83">
        <f>DETAIL!L84</f>
        <v>0.2137</v>
      </c>
      <c r="L21" s="83">
        <f>DETAIL!L85</f>
        <v>0.1535</v>
      </c>
      <c r="M21" s="84">
        <f>DETAIL!L86</f>
        <v>0.1236</v>
      </c>
    </row>
    <row r="22" spans="1:13" ht="15">
      <c r="A22" s="80" t="s">
        <v>141</v>
      </c>
      <c r="B22" s="81">
        <v>510</v>
      </c>
      <c r="C22" s="82">
        <v>0</v>
      </c>
      <c r="D22" s="82">
        <v>17.99</v>
      </c>
      <c r="E22" s="83">
        <f>DETAIL!L97</f>
        <v>0.8638</v>
      </c>
      <c r="F22" s="83">
        <f>DETAIL!L89</f>
        <v>2.5893</v>
      </c>
      <c r="G22" s="83">
        <f>DETAIL!L90</f>
        <v>1.3065</v>
      </c>
      <c r="H22" s="83">
        <f>DETAIL!L91</f>
        <v>0.7092</v>
      </c>
      <c r="I22" s="83">
        <f>DETAIL!L92</f>
        <v>0.4157</v>
      </c>
      <c r="J22" s="83">
        <f>DETAIL!L93</f>
        <v>0.314</v>
      </c>
      <c r="K22" s="83">
        <f>DETAIL!L94</f>
        <v>0.2804</v>
      </c>
      <c r="L22" s="83">
        <f>DETAIL!L95</f>
        <v>0.2068</v>
      </c>
      <c r="M22" s="84">
        <f>DETAIL!L96</f>
        <v>0.1503</v>
      </c>
    </row>
    <row r="23" spans="1:13" ht="15">
      <c r="A23" s="75"/>
      <c r="B23" s="76"/>
      <c r="C23" s="77"/>
      <c r="D23" s="77"/>
      <c r="E23" s="78"/>
      <c r="F23" s="78"/>
      <c r="G23" s="78"/>
      <c r="H23" s="78"/>
      <c r="I23" s="78"/>
      <c r="J23" s="78"/>
      <c r="K23" s="78"/>
      <c r="L23" s="78"/>
      <c r="M23" s="79"/>
    </row>
    <row r="24" spans="1:13" ht="15">
      <c r="A24" s="70" t="s">
        <v>115</v>
      </c>
      <c r="B24" s="71">
        <v>1500</v>
      </c>
      <c r="C24" s="72">
        <v>6.01</v>
      </c>
      <c r="D24" s="72">
        <v>17.99</v>
      </c>
      <c r="E24" s="73">
        <f>DETAIL!L106</f>
        <v>0.796</v>
      </c>
      <c r="F24" s="73"/>
      <c r="G24" s="73">
        <f>DETAIL!L99</f>
        <v>1.171</v>
      </c>
      <c r="H24" s="73">
        <f>DETAIL!L100</f>
        <v>0.6414</v>
      </c>
      <c r="I24" s="73">
        <f>DETAIL!L101</f>
        <v>0.3818</v>
      </c>
      <c r="J24" s="73">
        <f>DETAIL!L102</f>
        <v>0.2886</v>
      </c>
      <c r="K24" s="73">
        <f>DETAIL!L103</f>
        <v>0.2592</v>
      </c>
      <c r="L24" s="73">
        <f>DETAIL!L104</f>
        <v>0.1899</v>
      </c>
      <c r="M24" s="74">
        <f>DETAIL!L105</f>
        <v>0.1419</v>
      </c>
    </row>
    <row r="25" spans="1:13" ht="15">
      <c r="A25" s="75"/>
      <c r="B25" s="76"/>
      <c r="C25" s="77"/>
      <c r="D25" s="77"/>
      <c r="E25" s="78"/>
      <c r="F25" s="78"/>
      <c r="G25" s="78"/>
      <c r="H25" s="78"/>
      <c r="I25" s="78"/>
      <c r="J25" s="78"/>
      <c r="K25" s="78"/>
      <c r="L25" s="78"/>
      <c r="M25" s="79"/>
    </row>
    <row r="26" spans="1:13" ht="15">
      <c r="A26" s="80" t="s">
        <v>72</v>
      </c>
      <c r="B26" s="81">
        <v>1700</v>
      </c>
      <c r="C26" s="82">
        <v>18</v>
      </c>
      <c r="D26" s="82">
        <v>29.99</v>
      </c>
      <c r="E26" s="83">
        <f>DETAIL!L118</f>
        <v>0.799</v>
      </c>
      <c r="F26" s="83"/>
      <c r="G26" s="83">
        <f>DETAIL!L111</f>
        <v>1.177</v>
      </c>
      <c r="H26" s="83">
        <f>DETAIL!L112</f>
        <v>0.6444</v>
      </c>
      <c r="I26" s="83">
        <f>DETAIL!L113</f>
        <v>0.3833</v>
      </c>
      <c r="J26" s="83">
        <f>DETAIL!L114</f>
        <v>0.2897</v>
      </c>
      <c r="K26" s="83">
        <f>DETAIL!L115</f>
        <v>0.2601</v>
      </c>
      <c r="L26" s="83">
        <f>DETAIL!L116</f>
        <v>0.1906</v>
      </c>
      <c r="M26" s="84">
        <f>DETAIL!L117</f>
        <v>0.1422</v>
      </c>
    </row>
    <row r="27" spans="1:13" ht="15">
      <c r="A27" s="80" t="s">
        <v>55</v>
      </c>
      <c r="B27" s="81">
        <v>1800</v>
      </c>
      <c r="C27" s="82">
        <v>30</v>
      </c>
      <c r="D27" s="82">
        <v>35.99</v>
      </c>
      <c r="E27" s="83">
        <f>DETAIL!L127</f>
        <v>0.799</v>
      </c>
      <c r="F27" s="83"/>
      <c r="G27" s="83">
        <f>DETAIL!L120</f>
        <v>1.177</v>
      </c>
      <c r="H27" s="83">
        <f>DETAIL!L121</f>
        <v>0.6444</v>
      </c>
      <c r="I27" s="83">
        <f>DETAIL!L122</f>
        <v>0.3833</v>
      </c>
      <c r="J27" s="83">
        <f>DETAIL!L123</f>
        <v>0.2897</v>
      </c>
      <c r="K27" s="83">
        <f>DETAIL!L124</f>
        <v>0.2601</v>
      </c>
      <c r="L27" s="83">
        <f>DETAIL!L125</f>
        <v>0.1906</v>
      </c>
      <c r="M27" s="84">
        <f>DETAIL!L126</f>
        <v>0.1422</v>
      </c>
    </row>
    <row r="28" spans="1:13" ht="15">
      <c r="A28" s="70" t="s">
        <v>56</v>
      </c>
      <c r="B28" s="71">
        <v>1900</v>
      </c>
      <c r="C28" s="72">
        <v>36</v>
      </c>
      <c r="D28" s="72">
        <v>50</v>
      </c>
      <c r="E28" s="73">
        <f>DETAIL!L136</f>
        <v>0.799</v>
      </c>
      <c r="F28" s="73"/>
      <c r="G28" s="73">
        <f>DETAIL!L129</f>
        <v>1.177</v>
      </c>
      <c r="H28" s="73">
        <f>DETAIL!L130</f>
        <v>0.6444</v>
      </c>
      <c r="I28" s="73">
        <f>DETAIL!L131</f>
        <v>0.3833</v>
      </c>
      <c r="J28" s="73">
        <f>DETAIL!L132</f>
        <v>0.2897</v>
      </c>
      <c r="K28" s="73">
        <f>DETAIL!L133</f>
        <v>0.2601</v>
      </c>
      <c r="L28" s="73">
        <f>DETAIL!L134</f>
        <v>0.1906</v>
      </c>
      <c r="M28" s="74">
        <f>DETAIL!L135</f>
        <v>0.1422</v>
      </c>
    </row>
    <row r="29" spans="1:13" ht="15">
      <c r="A29" s="75"/>
      <c r="B29" s="76"/>
      <c r="C29" s="77"/>
      <c r="D29" s="77"/>
      <c r="E29" s="153" t="str">
        <f>FIXED(E30/2.1275,4)&amp;" /LB."</f>
        <v>0.5809 /LB.</v>
      </c>
      <c r="F29" s="78"/>
      <c r="G29" s="78"/>
      <c r="H29" s="78"/>
      <c r="I29" s="78"/>
      <c r="J29" s="78"/>
      <c r="K29" s="78"/>
      <c r="L29" s="78"/>
      <c r="M29" s="79"/>
    </row>
    <row r="30" spans="1:13" ht="15.75" thickBot="1">
      <c r="A30" s="85" t="s">
        <v>167</v>
      </c>
      <c r="B30" s="86">
        <v>1600</v>
      </c>
      <c r="C30" s="87">
        <v>0</v>
      </c>
      <c r="D30" s="87">
        <v>29.99</v>
      </c>
      <c r="E30" s="88">
        <f>DETAIL!L145</f>
        <v>1.2358</v>
      </c>
      <c r="F30" s="88"/>
      <c r="G30" s="88">
        <f>DETAIL!L138</f>
        <v>2.2089</v>
      </c>
      <c r="H30" s="88">
        <f>DETAIL!L139</f>
        <v>1.1604</v>
      </c>
      <c r="I30" s="88">
        <f>DETAIL!L140</f>
        <v>0.6413</v>
      </c>
      <c r="J30" s="88">
        <f>DETAIL!L141</f>
        <v>0.4352</v>
      </c>
      <c r="K30" s="88">
        <f>DETAIL!L142</f>
        <v>0.365</v>
      </c>
      <c r="L30" s="88">
        <f>DETAIL!L143</f>
        <v>0.3196</v>
      </c>
      <c r="M30" s="89">
        <f>DETAIL!L144</f>
        <v>0.1795</v>
      </c>
    </row>
    <row r="31" spans="1:13" ht="15.75" thickTop="1">
      <c r="A31" s="90" t="s">
        <v>116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</row>
    <row r="32" spans="1:13" ht="15">
      <c r="A32" s="90" t="s">
        <v>117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</row>
    <row r="33" spans="1:13" ht="15">
      <c r="A33" s="90" t="s">
        <v>118</v>
      </c>
      <c r="B33" s="90" t="s">
        <v>119</v>
      </c>
      <c r="C33" s="90">
        <f>DETAIL!L107</f>
        <v>0.0158</v>
      </c>
      <c r="D33" s="90"/>
      <c r="E33" s="90" t="s">
        <v>120</v>
      </c>
      <c r="F33" s="90">
        <f>DETAIL!L108</f>
        <v>0.021</v>
      </c>
      <c r="G33" s="90"/>
      <c r="H33" s="90" t="s">
        <v>121</v>
      </c>
      <c r="I33" s="90">
        <f>DETAIL!L109</f>
        <v>0.0316</v>
      </c>
      <c r="J33" s="90"/>
      <c r="K33" s="90"/>
      <c r="L33" s="90"/>
      <c r="M33" s="90"/>
    </row>
    <row r="34" spans="1:13" ht="15">
      <c r="A34" s="90" t="s">
        <v>122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</row>
    <row r="35" spans="1:20" ht="15">
      <c r="A35" s="258">
        <f>INPUT!B20</f>
        <v>0</v>
      </c>
      <c r="B35" s="259"/>
      <c r="C35" s="259"/>
      <c r="D35" s="259"/>
      <c r="E35" s="205"/>
      <c r="F35" s="205"/>
      <c r="G35" s="205"/>
      <c r="H35" s="205"/>
      <c r="I35" s="205"/>
      <c r="J35" s="90"/>
      <c r="K35" s="90"/>
      <c r="L35" s="90"/>
      <c r="M35" s="90"/>
      <c r="O35" s="90"/>
      <c r="P35" s="90"/>
      <c r="Q35" s="91"/>
      <c r="R35" s="90"/>
      <c r="S35" s="90"/>
      <c r="T35" s="90"/>
    </row>
    <row r="36" spans="1:13" ht="15">
      <c r="A36" s="90" t="s">
        <v>166</v>
      </c>
      <c r="B36" s="187">
        <f>ROUND(E30/2.1275*5,4)</f>
        <v>2.9043</v>
      </c>
      <c r="C36" s="90" t="s">
        <v>151</v>
      </c>
      <c r="D36" s="187">
        <f>ROUND(E30/2.1275*10,4)</f>
        <v>5.8087</v>
      </c>
      <c r="E36" s="90"/>
      <c r="F36" s="90"/>
      <c r="G36" s="90"/>
      <c r="H36" s="90"/>
      <c r="I36" s="90"/>
      <c r="J36" s="90"/>
      <c r="K36" s="90"/>
      <c r="L36" s="90"/>
      <c r="M36" s="90"/>
    </row>
    <row r="37" spans="6:13" ht="15">
      <c r="F37" s="90"/>
      <c r="G37" s="90"/>
      <c r="H37" s="90"/>
      <c r="I37" s="90"/>
      <c r="J37" s="90"/>
      <c r="K37" s="90"/>
      <c r="L37" s="90"/>
      <c r="M37" s="90"/>
    </row>
    <row r="38" spans="1:13" ht="15">
      <c r="A38" s="90"/>
      <c r="B38" s="45"/>
      <c r="C38" s="46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ht="34.5">
      <c r="A39" s="48" t="str">
        <f>+A1</f>
        <v>AREA  5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8">
      <c r="A40" s="49" t="s">
        <v>37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8">
      <c r="A41" s="49" t="s">
        <v>140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8">
      <c r="A42" s="49" t="s">
        <v>123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8">
      <c r="A43" s="49" t="s">
        <v>124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35.25" thickBot="1">
      <c r="A44" s="140">
        <f>INPUT!B3</f>
        <v>0</v>
      </c>
      <c r="B44" s="44"/>
      <c r="C44" s="44" t="s">
        <v>125</v>
      </c>
      <c r="D44" s="50"/>
      <c r="E44" s="51"/>
      <c r="F44" s="52"/>
      <c r="G44" s="44"/>
      <c r="H44" s="44"/>
      <c r="I44" s="44"/>
      <c r="J44" s="44"/>
      <c r="K44" s="92"/>
      <c r="L44" s="44"/>
      <c r="M44" s="251" t="str">
        <f>M6</f>
        <v>OGO A-954 (CRO-5)</v>
      </c>
    </row>
    <row r="45" spans="1:13" ht="16.5" thickBot="1" thickTop="1">
      <c r="A45" s="53"/>
      <c r="B45" s="53"/>
      <c r="C45" s="54" t="s">
        <v>96</v>
      </c>
      <c r="D45" s="55"/>
      <c r="E45" s="56" t="s">
        <v>97</v>
      </c>
      <c r="F45" s="57" t="s">
        <v>98</v>
      </c>
      <c r="G45" s="58"/>
      <c r="H45" s="58"/>
      <c r="I45" s="58"/>
      <c r="J45" s="58"/>
      <c r="K45" s="58"/>
      <c r="L45" s="58"/>
      <c r="M45" s="59"/>
    </row>
    <row r="46" spans="1:13" ht="16.5" thickBot="1" thickTop="1">
      <c r="A46" s="60"/>
      <c r="B46" s="60" t="s">
        <v>99</v>
      </c>
      <c r="C46" s="61" t="s">
        <v>126</v>
      </c>
      <c r="D46" s="62"/>
      <c r="E46" s="63" t="s">
        <v>101</v>
      </c>
      <c r="F46" s="56"/>
      <c r="G46" s="56" t="s">
        <v>102</v>
      </c>
      <c r="H46" s="56"/>
      <c r="I46" s="56"/>
      <c r="J46" s="56"/>
      <c r="K46" s="56"/>
      <c r="L46" s="63" t="s">
        <v>111</v>
      </c>
      <c r="M46" s="56"/>
    </row>
    <row r="47" spans="1:13" ht="16.5" thickBot="1" thickTop="1">
      <c r="A47" s="64" t="s">
        <v>103</v>
      </c>
      <c r="B47" s="64" t="s">
        <v>104</v>
      </c>
      <c r="C47" s="65" t="s">
        <v>105</v>
      </c>
      <c r="D47" s="65" t="s">
        <v>106</v>
      </c>
      <c r="E47" s="65" t="s">
        <v>107</v>
      </c>
      <c r="F47" s="65" t="s">
        <v>108</v>
      </c>
      <c r="G47" s="65" t="s">
        <v>109</v>
      </c>
      <c r="H47" s="65" t="s">
        <v>14</v>
      </c>
      <c r="I47" s="65" t="s">
        <v>15</v>
      </c>
      <c r="J47" s="63" t="s">
        <v>163</v>
      </c>
      <c r="K47" s="65" t="s">
        <v>164</v>
      </c>
      <c r="L47" s="66" t="s">
        <v>110</v>
      </c>
      <c r="M47" s="65" t="s">
        <v>112</v>
      </c>
    </row>
    <row r="48" spans="1:13" ht="15.75" thickTop="1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9"/>
    </row>
    <row r="49" spans="1:13" ht="15">
      <c r="A49" s="80" t="s">
        <v>113</v>
      </c>
      <c r="B49" s="81">
        <v>400</v>
      </c>
      <c r="C49" s="82">
        <v>3.1</v>
      </c>
      <c r="D49" s="82">
        <v>6</v>
      </c>
      <c r="E49" s="82">
        <f>DETAIL!R17</f>
        <v>0.6</v>
      </c>
      <c r="F49" s="82">
        <f>DETAIL!R9</f>
        <v>1.51</v>
      </c>
      <c r="G49" s="82">
        <f>DETAIL!R10</f>
        <v>0.77</v>
      </c>
      <c r="H49" s="82">
        <f>DETAIL!R11</f>
        <v>0.44</v>
      </c>
      <c r="I49" s="82">
        <f>DETAIL!R12</f>
        <v>0.29</v>
      </c>
      <c r="J49" s="82">
        <f>DETAIL!R13</f>
        <v>0.22</v>
      </c>
      <c r="K49" s="82">
        <f>DETAIL!R14</f>
        <v>0.2</v>
      </c>
      <c r="L49" s="82">
        <f>DETAIL!R15</f>
        <v>0.14</v>
      </c>
      <c r="M49" s="95">
        <f>DETAIL!R16</f>
        <v>0.12</v>
      </c>
    </row>
    <row r="50" spans="1:13" ht="15">
      <c r="A50" s="80" t="s">
        <v>47</v>
      </c>
      <c r="B50" s="81">
        <v>800</v>
      </c>
      <c r="C50" s="82">
        <v>1.5</v>
      </c>
      <c r="D50" s="82">
        <v>3.09</v>
      </c>
      <c r="E50" s="82">
        <f>DETAIL!R27</f>
        <v>0.6</v>
      </c>
      <c r="F50" s="82">
        <f>DETAIL!R19</f>
        <v>1.51</v>
      </c>
      <c r="G50" s="82">
        <f>DETAIL!R20</f>
        <v>0.77</v>
      </c>
      <c r="H50" s="82">
        <f>DETAIL!R21</f>
        <v>0.44</v>
      </c>
      <c r="I50" s="82">
        <f>DETAIL!R22</f>
        <v>0.29</v>
      </c>
      <c r="J50" s="82">
        <f>DETAIL!R23</f>
        <v>0.22</v>
      </c>
      <c r="K50" s="82">
        <f>DETAIL!R24</f>
        <v>0.2</v>
      </c>
      <c r="L50" s="82">
        <f>DETAIL!R25</f>
        <v>0.14</v>
      </c>
      <c r="M50" s="95">
        <f>DETAIL!R26</f>
        <v>0.12</v>
      </c>
    </row>
    <row r="51" spans="1:13" ht="15">
      <c r="A51" s="70" t="s">
        <v>114</v>
      </c>
      <c r="B51" s="71">
        <v>900</v>
      </c>
      <c r="C51" s="72">
        <v>0.5</v>
      </c>
      <c r="D51" s="72">
        <v>1.49</v>
      </c>
      <c r="E51" s="72">
        <f>DETAIL!R37</f>
        <v>0.6</v>
      </c>
      <c r="F51" s="72">
        <f>DETAIL!R29</f>
        <v>1.51</v>
      </c>
      <c r="G51" s="72">
        <f>DETAIL!R30</f>
        <v>0.77</v>
      </c>
      <c r="H51" s="72">
        <f>DETAIL!R31</f>
        <v>0.44</v>
      </c>
      <c r="I51" s="72">
        <f>DETAIL!R32</f>
        <v>0.29</v>
      </c>
      <c r="J51" s="72">
        <f>DETAIL!R33</f>
        <v>0.22</v>
      </c>
      <c r="K51" s="72">
        <f>DETAIL!R34</f>
        <v>0.2</v>
      </c>
      <c r="L51" s="72">
        <f>DETAIL!R35</f>
        <v>0.14</v>
      </c>
      <c r="M51" s="93">
        <f>DETAIL!R36</f>
        <v>0.12</v>
      </c>
    </row>
    <row r="52" spans="1:13" ht="15">
      <c r="A52" s="75"/>
      <c r="B52" s="76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94"/>
    </row>
    <row r="53" spans="1:13" ht="15">
      <c r="A53" s="70" t="s">
        <v>49</v>
      </c>
      <c r="B53" s="71">
        <v>1200</v>
      </c>
      <c r="C53" s="72">
        <v>0</v>
      </c>
      <c r="D53" s="72">
        <v>0.49</v>
      </c>
      <c r="E53" s="72">
        <f>DETAIL!R47</f>
        <v>0.6</v>
      </c>
      <c r="F53" s="72">
        <f>DETAIL!R39</f>
        <v>1.52</v>
      </c>
      <c r="G53" s="72">
        <f>DETAIL!R40</f>
        <v>0.77</v>
      </c>
      <c r="H53" s="72">
        <f>DETAIL!R41</f>
        <v>0.45</v>
      </c>
      <c r="I53" s="72">
        <f>DETAIL!R42</f>
        <v>0.29</v>
      </c>
      <c r="J53" s="72">
        <f>DETAIL!R43</f>
        <v>0.22</v>
      </c>
      <c r="K53" s="72">
        <f>DETAIL!R44</f>
        <v>0.2</v>
      </c>
      <c r="L53" s="72">
        <f>DETAIL!R45</f>
        <v>0.14</v>
      </c>
      <c r="M53" s="93">
        <f>DETAIL!R46</f>
        <v>0.12</v>
      </c>
    </row>
    <row r="54" spans="1:13" ht="15">
      <c r="A54" s="75"/>
      <c r="B54" s="76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94"/>
    </row>
    <row r="55" spans="1:13" ht="15">
      <c r="A55" s="80" t="s">
        <v>25</v>
      </c>
      <c r="B55" s="81">
        <v>500</v>
      </c>
      <c r="C55" s="82">
        <v>3.1</v>
      </c>
      <c r="D55" s="82">
        <v>6</v>
      </c>
      <c r="E55" s="82">
        <f>DETAIL!R57</f>
        <v>0.6</v>
      </c>
      <c r="F55" s="82">
        <f>DETAIL!R49</f>
        <v>1.51</v>
      </c>
      <c r="G55" s="82">
        <f>DETAIL!R50</f>
        <v>0.77</v>
      </c>
      <c r="H55" s="82">
        <f>DETAIL!R51</f>
        <v>0.44</v>
      </c>
      <c r="I55" s="82">
        <f>DETAIL!R52</f>
        <v>0.29</v>
      </c>
      <c r="J55" s="82">
        <f>DETAIL!R53</f>
        <v>0.22</v>
      </c>
      <c r="K55" s="82">
        <f>DETAIL!R54</f>
        <v>0.2</v>
      </c>
      <c r="L55" s="82">
        <f>DETAIL!R55</f>
        <v>0.14</v>
      </c>
      <c r="M55" s="95">
        <f>DETAIL!R56</f>
        <v>0.12</v>
      </c>
    </row>
    <row r="56" spans="1:13" ht="15">
      <c r="A56" s="80" t="s">
        <v>50</v>
      </c>
      <c r="B56" s="81">
        <v>600</v>
      </c>
      <c r="C56" s="82">
        <v>0.5</v>
      </c>
      <c r="D56" s="82">
        <v>3.09</v>
      </c>
      <c r="E56" s="82">
        <f>DETAIL!R67</f>
        <v>0.6</v>
      </c>
      <c r="F56" s="82">
        <f>DETAIL!R59</f>
        <v>1.51</v>
      </c>
      <c r="G56" s="82">
        <f>DETAIL!R60</f>
        <v>0.77</v>
      </c>
      <c r="H56" s="82">
        <f>DETAIL!R61</f>
        <v>0.44</v>
      </c>
      <c r="I56" s="82">
        <f>DETAIL!R62</f>
        <v>0.29</v>
      </c>
      <c r="J56" s="82">
        <f>DETAIL!R63</f>
        <v>0.22</v>
      </c>
      <c r="K56" s="82">
        <f>DETAIL!R64</f>
        <v>0.2</v>
      </c>
      <c r="L56" s="82">
        <f>DETAIL!R65</f>
        <v>0.14</v>
      </c>
      <c r="M56" s="95">
        <f>DETAIL!R66</f>
        <v>0.12</v>
      </c>
    </row>
    <row r="57" spans="1:13" ht="15">
      <c r="A57" s="70" t="s">
        <v>172</v>
      </c>
      <c r="B57" s="71">
        <v>700</v>
      </c>
      <c r="C57" s="72">
        <v>0</v>
      </c>
      <c r="D57" s="72">
        <v>0.49</v>
      </c>
      <c r="E57" s="72">
        <f>DETAIL!R77</f>
        <v>0.6</v>
      </c>
      <c r="F57" s="72">
        <f>DETAIL!R69</f>
        <v>1.51</v>
      </c>
      <c r="G57" s="72">
        <f>DETAIL!R70</f>
        <v>0.77</v>
      </c>
      <c r="H57" s="72">
        <f>DETAIL!R71</f>
        <v>0.44</v>
      </c>
      <c r="I57" s="72">
        <f>DETAIL!R72</f>
        <v>0.29</v>
      </c>
      <c r="J57" s="72">
        <f>DETAIL!R73</f>
        <v>0.22</v>
      </c>
      <c r="K57" s="72">
        <f>DETAIL!R74</f>
        <v>0.2</v>
      </c>
      <c r="L57" s="72">
        <f>DETAIL!R75</f>
        <v>0.14</v>
      </c>
      <c r="M57" s="93">
        <f>DETAIL!R76</f>
        <v>0.12</v>
      </c>
    </row>
    <row r="58" spans="1:13" ht="15">
      <c r="A58" s="75"/>
      <c r="B58" s="76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94"/>
    </row>
    <row r="59" spans="1:13" ht="15">
      <c r="A59" s="80" t="s">
        <v>27</v>
      </c>
      <c r="B59" s="81">
        <v>1000</v>
      </c>
      <c r="C59" s="82">
        <v>0</v>
      </c>
      <c r="D59" s="82">
        <v>6</v>
      </c>
      <c r="E59" s="82">
        <f>DETAIL!R87</f>
        <v>0.66</v>
      </c>
      <c r="F59" s="82">
        <f>DETAIL!R79</f>
        <v>1.74</v>
      </c>
      <c r="G59" s="82">
        <f>DETAIL!R80</f>
        <v>0.88</v>
      </c>
      <c r="H59" s="82">
        <f>DETAIL!R81</f>
        <v>0.5</v>
      </c>
      <c r="I59" s="82">
        <f>DETAIL!R82</f>
        <v>0.31</v>
      </c>
      <c r="J59" s="82">
        <f>DETAIL!R83</f>
        <v>0.24</v>
      </c>
      <c r="K59" s="82">
        <f>DETAIL!R84</f>
        <v>0.22</v>
      </c>
      <c r="L59" s="82">
        <f>DETAIL!R85</f>
        <v>0.16</v>
      </c>
      <c r="M59" s="95">
        <f>DETAIL!R86</f>
        <v>0.13</v>
      </c>
    </row>
    <row r="60" spans="1:13" ht="15">
      <c r="A60" s="80" t="s">
        <v>141</v>
      </c>
      <c r="B60" s="81">
        <v>510</v>
      </c>
      <c r="C60" s="82">
        <v>0</v>
      </c>
      <c r="D60" s="82">
        <v>17.99</v>
      </c>
      <c r="E60" s="82">
        <f>DETAIL!R97</f>
        <v>0.87</v>
      </c>
      <c r="F60" s="82">
        <f>DETAIL!R89</f>
        <v>2.59</v>
      </c>
      <c r="G60" s="82">
        <f>DETAIL!R90</f>
        <v>1.31</v>
      </c>
      <c r="H60" s="82">
        <f>DETAIL!R91</f>
        <v>0.71</v>
      </c>
      <c r="I60" s="82">
        <f>DETAIL!R92</f>
        <v>0.42</v>
      </c>
      <c r="J60" s="82">
        <f>DETAIL!R93</f>
        <v>0.32</v>
      </c>
      <c r="K60" s="82">
        <f>DETAIL!R94</f>
        <v>0.29</v>
      </c>
      <c r="L60" s="82">
        <f>DETAIL!R95</f>
        <v>0.21</v>
      </c>
      <c r="M60" s="95">
        <f>DETAIL!R96</f>
        <v>0.16</v>
      </c>
    </row>
    <row r="61" spans="1:13" ht="15">
      <c r="A61" s="75"/>
      <c r="B61" s="76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94"/>
    </row>
    <row r="62" spans="1:13" ht="15">
      <c r="A62" s="70" t="s">
        <v>127</v>
      </c>
      <c r="B62" s="71">
        <v>1500</v>
      </c>
      <c r="C62" s="72">
        <v>6.01</v>
      </c>
      <c r="D62" s="72">
        <v>17.99</v>
      </c>
      <c r="E62" s="72">
        <f>DETAIL!R106</f>
        <v>0.8</v>
      </c>
      <c r="F62" s="72"/>
      <c r="G62" s="72">
        <f>DETAIL!R99</f>
        <v>1.18</v>
      </c>
      <c r="H62" s="72">
        <f>DETAIL!R100</f>
        <v>0.65</v>
      </c>
      <c r="I62" s="72">
        <f>DETAIL!R101</f>
        <v>0.39</v>
      </c>
      <c r="J62" s="72">
        <f>DETAIL!R102</f>
        <v>0.29</v>
      </c>
      <c r="K62" s="72">
        <f>DETAIL!R103</f>
        <v>0.26</v>
      </c>
      <c r="L62" s="72">
        <f>DETAIL!R104</f>
        <v>0.19</v>
      </c>
      <c r="M62" s="93">
        <f>DETAIL!R105</f>
        <v>0.15</v>
      </c>
    </row>
    <row r="63" spans="1:13" ht="15">
      <c r="A63" s="75"/>
      <c r="B63" s="76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94"/>
    </row>
    <row r="64" spans="1:13" ht="15">
      <c r="A64" s="80" t="s">
        <v>72</v>
      </c>
      <c r="B64" s="81">
        <v>1700</v>
      </c>
      <c r="C64" s="82">
        <v>18</v>
      </c>
      <c r="D64" s="82">
        <v>29.99</v>
      </c>
      <c r="E64" s="82">
        <f>DETAIL!R118</f>
        <v>0.8</v>
      </c>
      <c r="F64" s="82"/>
      <c r="G64" s="82">
        <f>DETAIL!R111</f>
        <v>1.18</v>
      </c>
      <c r="H64" s="82">
        <f>DETAIL!R112</f>
        <v>0.65</v>
      </c>
      <c r="I64" s="82">
        <f>DETAIL!R113</f>
        <v>0.39</v>
      </c>
      <c r="J64" s="82">
        <f>DETAIL!R114</f>
        <v>0.29</v>
      </c>
      <c r="K64" s="82">
        <f>DETAIL!R115</f>
        <v>0.27</v>
      </c>
      <c r="L64" s="82">
        <f>DETAIL!R116</f>
        <v>0.2</v>
      </c>
      <c r="M64" s="95">
        <f>DETAIL!R117</f>
        <v>0.15</v>
      </c>
    </row>
    <row r="65" spans="1:13" ht="15">
      <c r="A65" s="80" t="s">
        <v>55</v>
      </c>
      <c r="B65" s="81">
        <v>1800</v>
      </c>
      <c r="C65" s="82">
        <v>30</v>
      </c>
      <c r="D65" s="82">
        <v>35.99</v>
      </c>
      <c r="E65" s="82">
        <f>DETAIL!R127</f>
        <v>0.8</v>
      </c>
      <c r="F65" s="82"/>
      <c r="G65" s="82">
        <f>DETAIL!R120</f>
        <v>1.18</v>
      </c>
      <c r="H65" s="82">
        <f>DETAIL!R121</f>
        <v>0.65</v>
      </c>
      <c r="I65" s="82">
        <f>DETAIL!R122</f>
        <v>0.39</v>
      </c>
      <c r="J65" s="82">
        <f>DETAIL!R123</f>
        <v>0.29</v>
      </c>
      <c r="K65" s="82">
        <f>DETAIL!R124</f>
        <v>0.27</v>
      </c>
      <c r="L65" s="82">
        <f>DETAIL!R125</f>
        <v>0.2</v>
      </c>
      <c r="M65" s="95">
        <f>DETAIL!R126</f>
        <v>0.15</v>
      </c>
    </row>
    <row r="66" spans="1:13" ht="15">
      <c r="A66" s="70" t="s">
        <v>56</v>
      </c>
      <c r="B66" s="71">
        <v>1900</v>
      </c>
      <c r="C66" s="72">
        <v>36</v>
      </c>
      <c r="D66" s="72">
        <v>50</v>
      </c>
      <c r="E66" s="72">
        <f>DETAIL!R136</f>
        <v>0.8</v>
      </c>
      <c r="F66" s="72"/>
      <c r="G66" s="72">
        <f>DETAIL!R129</f>
        <v>1.18</v>
      </c>
      <c r="H66" s="72">
        <f>DETAIL!R130</f>
        <v>0.65</v>
      </c>
      <c r="I66" s="72">
        <f>DETAIL!R131</f>
        <v>0.39</v>
      </c>
      <c r="J66" s="72">
        <f>DETAIL!R132</f>
        <v>0.29</v>
      </c>
      <c r="K66" s="72">
        <f>DETAIL!R133</f>
        <v>0.27</v>
      </c>
      <c r="L66" s="72">
        <f>DETAIL!R134</f>
        <v>0.2</v>
      </c>
      <c r="M66" s="93">
        <f>DETAIL!R135</f>
        <v>0.15</v>
      </c>
    </row>
    <row r="67" spans="1:13" ht="15">
      <c r="A67" s="75"/>
      <c r="B67" s="76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94"/>
    </row>
    <row r="68" spans="1:13" ht="15.75" thickBot="1">
      <c r="A68" s="85" t="s">
        <v>128</v>
      </c>
      <c r="B68" s="86">
        <v>1600</v>
      </c>
      <c r="C68" s="87">
        <v>0</v>
      </c>
      <c r="D68" s="87">
        <v>29.99</v>
      </c>
      <c r="E68" s="87">
        <f>DETAIL!R145</f>
        <v>1.24</v>
      </c>
      <c r="F68" s="87"/>
      <c r="G68" s="87">
        <f>DETAIL!R138</f>
        <v>2.21</v>
      </c>
      <c r="H68" s="87">
        <f>DETAIL!R139</f>
        <v>1.17</v>
      </c>
      <c r="I68" s="87">
        <f>DETAIL!R140</f>
        <v>0.65</v>
      </c>
      <c r="J68" s="87">
        <f>DETAIL!R141</f>
        <v>0.44</v>
      </c>
      <c r="K68" s="87">
        <f>DETAIL!R142</f>
        <v>0.37</v>
      </c>
      <c r="L68" s="87">
        <f>DETAIL!R143</f>
        <v>0.32</v>
      </c>
      <c r="M68" s="96">
        <f>DETAIL!R144</f>
        <v>0.18</v>
      </c>
    </row>
    <row r="69" spans="1:13" ht="15.75" thickTop="1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1:13" ht="15">
      <c r="A70" s="90" t="s">
        <v>129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1:13" ht="15">
      <c r="A71" s="90" t="s">
        <v>130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1:13" ht="15">
      <c r="A72" s="90" t="s">
        <v>131</v>
      </c>
      <c r="B72" s="90" t="s">
        <v>132</v>
      </c>
      <c r="C72" s="97">
        <f>ROUND(B36+0.075,2)</f>
        <v>2.98</v>
      </c>
      <c r="D72" s="90" t="s">
        <v>133</v>
      </c>
      <c r="E72" s="97">
        <f>ROUND(D36+0.15,2)</f>
        <v>5.96</v>
      </c>
      <c r="F72" s="90"/>
      <c r="G72" s="90"/>
      <c r="H72" s="90"/>
      <c r="I72" s="90"/>
      <c r="J72" s="90"/>
      <c r="K72" s="90"/>
      <c r="L72" s="90"/>
      <c r="M72" s="90"/>
    </row>
    <row r="73" spans="1:13" ht="15">
      <c r="A73" s="90" t="s">
        <v>134</v>
      </c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ht="15">
      <c r="A74" s="206" t="str">
        <f>CONCATENATE("        /5/  ADD $",INPUT!E20," WHEN SOLD IN RIGID PLASTIC CONTAINERS.")</f>
        <v>        /5/  ADD $0.01 WHEN SOLD IN RIGID PLASTIC CONTAINERS.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1:13" ht="1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</sheetData>
  <sheetProtection/>
  <mergeCells count="3">
    <mergeCell ref="I4:K4"/>
    <mergeCell ref="I5:K5"/>
    <mergeCell ref="A35:D35"/>
  </mergeCells>
  <printOptions horizontalCentered="1" verticalCentered="1"/>
  <pageMargins left="0.25" right="0.25" top="0.25" bottom="0.25" header="0.5" footer="0.5"/>
  <pageSetup fitToHeight="2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DeSantis</dc:creator>
  <cp:keywords/>
  <dc:description/>
  <cp:lastModifiedBy>cackman</cp:lastModifiedBy>
  <cp:lastPrinted>2014-03-20T13:51:00Z</cp:lastPrinted>
  <dcterms:created xsi:type="dcterms:W3CDTF">1998-10-19T18:47:17Z</dcterms:created>
  <dcterms:modified xsi:type="dcterms:W3CDTF">2014-12-18T13:28:11Z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grationSourceU">
    <vt:lpwstr>http://www.portal.state.pa.us/portal/http;//www.portal.state.pa.us;80/portal/server.pt/gateway/PTARGS_0_94575_1464579_0_0_18/_AREA%205.xls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xd_Signatu">
    <vt:lpwstr/>
  </property>
  <property fmtid="{D5CDD505-2E9C-101B-9397-08002B2CF9AE}" pid="6" name="Ord">
    <vt:lpwstr>30800.0000000000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display_urn:schemas-microsoft-com:office:office#Auth">
    <vt:lpwstr>System Account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